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early Office Calendar" sheetId="1" state="visible" r:id="rId1"/>
  </sheets>
  <definedNames>
    <definedName name="_xlnm.Print_Area" localSheetId="0">'Yearly Office Calendar'!$A$1:$AH$30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"/>
    <numFmt numFmtId="165" formatCode="d"/>
  </numFmts>
  <fonts count="10">
    <font>
      <name val="Calibri"/>
      <family val="2"/>
      <color theme="1"/>
      <sz val="11"/>
      <scheme val="minor"/>
    </font>
    <font>
      <name val="Calibri"/>
      <b val="1"/>
      <color rgb="00833C0B"/>
      <sz val="24"/>
    </font>
    <font>
      <name val="Calibri"/>
      <b val="1"/>
      <color rgb="00262626"/>
      <sz val="10"/>
    </font>
    <font>
      <name val="Calibri"/>
      <b val="1"/>
      <color rgb="00262626"/>
      <sz val="14"/>
    </font>
    <font>
      <name val="Calibri"/>
      <b val="1"/>
      <color rgb="00FFFFFF"/>
      <sz val="10"/>
    </font>
    <font>
      <name val="Calibri"/>
      <b val="1"/>
      <color rgb="00262626"/>
      <sz val="9"/>
    </font>
    <font>
      <name val="Calibri"/>
      <color rgb="00262626"/>
      <sz val="9"/>
    </font>
    <font>
      <name val="Calibri"/>
      <b val="1"/>
      <color rgb="00833C0B"/>
      <sz val="8"/>
    </font>
    <font>
      <name val="Calibri"/>
      <color rgb="00262626"/>
      <sz val="8"/>
    </font>
    <font>
      <name val="Calibri"/>
      <i val="1"/>
      <color rgb="00757575"/>
      <sz val="9"/>
    </font>
  </fonts>
  <fills count="8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833C0B"/>
        <bgColor rgb="00833C0B"/>
      </patternFill>
    </fill>
    <fill>
      <patternFill patternType="solid">
        <fgColor rgb="00FBE5D6"/>
        <bgColor rgb="00FBE5D6"/>
      </patternFill>
    </fill>
    <fill>
      <patternFill patternType="solid">
        <fgColor rgb="00F8CBAD"/>
        <bgColor rgb="00F8CBAD"/>
      </patternFill>
    </fill>
    <fill>
      <patternFill patternType="solid">
        <fgColor rgb="00F2F2F2"/>
        <bgColor rgb="00F2F2F2"/>
      </patternFill>
    </fill>
    <fill>
      <patternFill patternType="solid">
        <fgColor rgb="00FFE699"/>
        <bgColor rgb="00FFE699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3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7" fillId="4" borderId="0" applyAlignment="1" pivotButton="0" quotePrefix="0" xfId="0">
      <alignment horizontal="center" vertical="center"/>
    </xf>
    <xf numFmtId="165" fontId="8" fillId="0" borderId="0" applyAlignment="1" pivotButton="0" quotePrefix="0" xfId="0">
      <alignment horizontal="center"/>
    </xf>
    <xf numFmtId="0" fontId="4" fillId="3" borderId="0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164" fontId="6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6" fillId="5" borderId="1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6" fillId="6" borderId="1" applyAlignment="1" pivotButton="0" quotePrefix="0" xfId="0">
      <alignment vertical="center"/>
    </xf>
    <xf numFmtId="0" fontId="6" fillId="7" borderId="1" applyAlignment="1" pivotButton="0" quotePrefix="0" xfId="0">
      <alignment vertical="center"/>
    </xf>
    <xf numFmtId="0" fontId="9" fillId="0" borderId="0" applyAlignment="1" pivotButton="0" quotePrefix="0" xfId="0">
      <alignment vertical="center"/>
    </xf>
  </cellXfs>
  <cellStyles count="1">
    <cellStyle name="Normal" xfId="0" builtinId="0" hidden="0"/>
  </cellStyles>
  <dxfs count="4">
    <dxf>
      <font>
        <color rgb="00FFFFFF"/>
      </font>
    </dxf>
    <dxf>
      <fill>
        <patternFill patternType="solid">
          <fgColor rgb="00FFE699"/>
          <bgColor rgb="00FFE699"/>
        </patternFill>
      </fill>
    </dxf>
    <dxf>
      <font>
        <b val="1"/>
      </font>
      <fill>
        <patternFill patternType="solid">
          <fgColor rgb="00F8CBAD"/>
          <bgColor rgb="00F8CBAD"/>
        </patternFill>
      </fill>
    </dxf>
    <dxf>
      <fill>
        <patternFill patternType="solid">
          <fgColor rgb="00F2F2F2"/>
          <bgColor rgb="00F2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30"/>
  <sheetViews>
    <sheetView showGridLines="0"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1.5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1.5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1.5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1.5" customWidth="1" min="32" max="32"/>
    <col width="11" customWidth="1" min="33" max="33"/>
    <col width="26" customWidth="1" min="34" max="34"/>
    <col width="10" customWidth="1" min="35" max="35"/>
  </cols>
  <sheetData>
    <row r="1">
      <c r="A1" s="1">
        <f>"OFFICE CALENDAR "&amp;$AH$3</f>
        <v/>
      </c>
    </row>
    <row r="2">
      <c r="AH2" s="2" t="inlineStr">
        <is>
          <t>Year:</t>
        </is>
      </c>
    </row>
    <row r="3">
      <c r="A3" s="3">
        <f>UPPER(TEXT(DATE($AH$3,1,1),"mmmm"))</f>
        <v/>
      </c>
      <c r="I3" s="3">
        <f>UPPER(TEXT(DATE($AH$3,2,1),"mmmm"))</f>
        <v/>
      </c>
      <c r="Q3" s="3">
        <f>UPPER(TEXT(DATE($AH$3,3,1),"mmmm"))</f>
        <v/>
      </c>
      <c r="Y3" s="3">
        <f>UPPER(TEXT(DATE($AH$3,4,1),"mmmm"))</f>
        <v/>
      </c>
      <c r="AH3" s="4">
        <f>YEAR(TODAY())</f>
        <v/>
      </c>
    </row>
    <row r="4">
      <c r="A4" s="5" t="inlineStr">
        <is>
          <t>S</t>
        </is>
      </c>
      <c r="B4" s="5" t="inlineStr">
        <is>
          <t>M</t>
        </is>
      </c>
      <c r="C4" s="5" t="inlineStr">
        <is>
          <t>T</t>
        </is>
      </c>
      <c r="D4" s="5" t="inlineStr">
        <is>
          <t>W</t>
        </is>
      </c>
      <c r="E4" s="5" t="inlineStr">
        <is>
          <t>T</t>
        </is>
      </c>
      <c r="F4" s="5" t="inlineStr">
        <is>
          <t>F</t>
        </is>
      </c>
      <c r="G4" s="5" t="inlineStr">
        <is>
          <t>S</t>
        </is>
      </c>
      <c r="I4" s="5" t="inlineStr">
        <is>
          <t>S</t>
        </is>
      </c>
      <c r="J4" s="5" t="inlineStr">
        <is>
          <t>M</t>
        </is>
      </c>
      <c r="K4" s="5" t="inlineStr">
        <is>
          <t>T</t>
        </is>
      </c>
      <c r="L4" s="5" t="inlineStr">
        <is>
          <t>W</t>
        </is>
      </c>
      <c r="M4" s="5" t="inlineStr">
        <is>
          <t>T</t>
        </is>
      </c>
      <c r="N4" s="5" t="inlineStr">
        <is>
          <t>F</t>
        </is>
      </c>
      <c r="O4" s="5" t="inlineStr">
        <is>
          <t>S</t>
        </is>
      </c>
      <c r="Q4" s="5" t="inlineStr">
        <is>
          <t>S</t>
        </is>
      </c>
      <c r="R4" s="5" t="inlineStr">
        <is>
          <t>M</t>
        </is>
      </c>
      <c r="S4" s="5" t="inlineStr">
        <is>
          <t>T</t>
        </is>
      </c>
      <c r="T4" s="5" t="inlineStr">
        <is>
          <t>W</t>
        </is>
      </c>
      <c r="U4" s="5" t="inlineStr">
        <is>
          <t>T</t>
        </is>
      </c>
      <c r="V4" s="5" t="inlineStr">
        <is>
          <t>F</t>
        </is>
      </c>
      <c r="W4" s="5" t="inlineStr">
        <is>
          <t>S</t>
        </is>
      </c>
      <c r="Y4" s="5" t="inlineStr">
        <is>
          <t>S</t>
        </is>
      </c>
      <c r="Z4" s="5" t="inlineStr">
        <is>
          <t>M</t>
        </is>
      </c>
      <c r="AA4" s="5" t="inlineStr">
        <is>
          <t>T</t>
        </is>
      </c>
      <c r="AB4" s="5" t="inlineStr">
        <is>
          <t>W</t>
        </is>
      </c>
      <c r="AC4" s="5" t="inlineStr">
        <is>
          <t>T</t>
        </is>
      </c>
      <c r="AD4" s="5" t="inlineStr">
        <is>
          <t>F</t>
        </is>
      </c>
      <c r="AE4" s="5" t="inlineStr">
        <is>
          <t>S</t>
        </is>
      </c>
    </row>
    <row r="5">
      <c r="A5" s="6">
        <f>DATE($AH$3,1,1)-WEEKDAY(DATE($AH$3,1,1))+1+0</f>
        <v/>
      </c>
      <c r="B5" s="6">
        <f>DATE($AH$3,1,1)-WEEKDAY(DATE($AH$3,1,1))+1+1</f>
        <v/>
      </c>
      <c r="C5" s="6">
        <f>DATE($AH$3,1,1)-WEEKDAY(DATE($AH$3,1,1))+1+2</f>
        <v/>
      </c>
      <c r="D5" s="6">
        <f>DATE($AH$3,1,1)-WEEKDAY(DATE($AH$3,1,1))+1+3</f>
        <v/>
      </c>
      <c r="E5" s="6">
        <f>DATE($AH$3,1,1)-WEEKDAY(DATE($AH$3,1,1))+1+4</f>
        <v/>
      </c>
      <c r="F5" s="6">
        <f>DATE($AH$3,1,1)-WEEKDAY(DATE($AH$3,1,1))+1+5</f>
        <v/>
      </c>
      <c r="G5" s="6">
        <f>DATE($AH$3,1,1)-WEEKDAY(DATE($AH$3,1,1))+1+6</f>
        <v/>
      </c>
      <c r="I5" s="6">
        <f>DATE($AH$3,2,1)-WEEKDAY(DATE($AH$3,2,1))+1+0</f>
        <v/>
      </c>
      <c r="J5" s="6">
        <f>DATE($AH$3,2,1)-WEEKDAY(DATE($AH$3,2,1))+1+1</f>
        <v/>
      </c>
      <c r="K5" s="6">
        <f>DATE($AH$3,2,1)-WEEKDAY(DATE($AH$3,2,1))+1+2</f>
        <v/>
      </c>
      <c r="L5" s="6">
        <f>DATE($AH$3,2,1)-WEEKDAY(DATE($AH$3,2,1))+1+3</f>
        <v/>
      </c>
      <c r="M5" s="6">
        <f>DATE($AH$3,2,1)-WEEKDAY(DATE($AH$3,2,1))+1+4</f>
        <v/>
      </c>
      <c r="N5" s="6">
        <f>DATE($AH$3,2,1)-WEEKDAY(DATE($AH$3,2,1))+1+5</f>
        <v/>
      </c>
      <c r="O5" s="6">
        <f>DATE($AH$3,2,1)-WEEKDAY(DATE($AH$3,2,1))+1+6</f>
        <v/>
      </c>
      <c r="Q5" s="6">
        <f>DATE($AH$3,3,1)-WEEKDAY(DATE($AH$3,3,1))+1+0</f>
        <v/>
      </c>
      <c r="R5" s="6">
        <f>DATE($AH$3,3,1)-WEEKDAY(DATE($AH$3,3,1))+1+1</f>
        <v/>
      </c>
      <c r="S5" s="6">
        <f>DATE($AH$3,3,1)-WEEKDAY(DATE($AH$3,3,1))+1+2</f>
        <v/>
      </c>
      <c r="T5" s="6">
        <f>DATE($AH$3,3,1)-WEEKDAY(DATE($AH$3,3,1))+1+3</f>
        <v/>
      </c>
      <c r="U5" s="6">
        <f>DATE($AH$3,3,1)-WEEKDAY(DATE($AH$3,3,1))+1+4</f>
        <v/>
      </c>
      <c r="V5" s="6">
        <f>DATE($AH$3,3,1)-WEEKDAY(DATE($AH$3,3,1))+1+5</f>
        <v/>
      </c>
      <c r="W5" s="6">
        <f>DATE($AH$3,3,1)-WEEKDAY(DATE($AH$3,3,1))+1+6</f>
        <v/>
      </c>
      <c r="Y5" s="6">
        <f>DATE($AH$3,4,1)-WEEKDAY(DATE($AH$3,4,1))+1+0</f>
        <v/>
      </c>
      <c r="Z5" s="6">
        <f>DATE($AH$3,4,1)-WEEKDAY(DATE($AH$3,4,1))+1+1</f>
        <v/>
      </c>
      <c r="AA5" s="6">
        <f>DATE($AH$3,4,1)-WEEKDAY(DATE($AH$3,4,1))+1+2</f>
        <v/>
      </c>
      <c r="AB5" s="6">
        <f>DATE($AH$3,4,1)-WEEKDAY(DATE($AH$3,4,1))+1+3</f>
        <v/>
      </c>
      <c r="AC5" s="6">
        <f>DATE($AH$3,4,1)-WEEKDAY(DATE($AH$3,4,1))+1+4</f>
        <v/>
      </c>
      <c r="AD5" s="6">
        <f>DATE($AH$3,4,1)-WEEKDAY(DATE($AH$3,4,1))+1+5</f>
        <v/>
      </c>
      <c r="AE5" s="6">
        <f>DATE($AH$3,4,1)-WEEKDAY(DATE($AH$3,4,1))+1+6</f>
        <v/>
      </c>
      <c r="AG5" s="7" t="inlineStr">
        <is>
          <t>OFFICE CLOSURES &amp; HOLIDAYS</t>
        </is>
      </c>
    </row>
    <row r="6">
      <c r="A6" s="6">
        <f>DATE($AH$3,1,1)-WEEKDAY(DATE($AH$3,1,1))+1+7</f>
        <v/>
      </c>
      <c r="B6" s="6">
        <f>DATE($AH$3,1,1)-WEEKDAY(DATE($AH$3,1,1))+1+8</f>
        <v/>
      </c>
      <c r="C6" s="6">
        <f>DATE($AH$3,1,1)-WEEKDAY(DATE($AH$3,1,1))+1+9</f>
        <v/>
      </c>
      <c r="D6" s="6">
        <f>DATE($AH$3,1,1)-WEEKDAY(DATE($AH$3,1,1))+1+10</f>
        <v/>
      </c>
      <c r="E6" s="6">
        <f>DATE($AH$3,1,1)-WEEKDAY(DATE($AH$3,1,1))+1+11</f>
        <v/>
      </c>
      <c r="F6" s="6">
        <f>DATE($AH$3,1,1)-WEEKDAY(DATE($AH$3,1,1))+1+12</f>
        <v/>
      </c>
      <c r="G6" s="6">
        <f>DATE($AH$3,1,1)-WEEKDAY(DATE($AH$3,1,1))+1+13</f>
        <v/>
      </c>
      <c r="I6" s="6">
        <f>DATE($AH$3,2,1)-WEEKDAY(DATE($AH$3,2,1))+1+7</f>
        <v/>
      </c>
      <c r="J6" s="6">
        <f>DATE($AH$3,2,1)-WEEKDAY(DATE($AH$3,2,1))+1+8</f>
        <v/>
      </c>
      <c r="K6" s="6">
        <f>DATE($AH$3,2,1)-WEEKDAY(DATE($AH$3,2,1))+1+9</f>
        <v/>
      </c>
      <c r="L6" s="6">
        <f>DATE($AH$3,2,1)-WEEKDAY(DATE($AH$3,2,1))+1+10</f>
        <v/>
      </c>
      <c r="M6" s="6">
        <f>DATE($AH$3,2,1)-WEEKDAY(DATE($AH$3,2,1))+1+11</f>
        <v/>
      </c>
      <c r="N6" s="6">
        <f>DATE($AH$3,2,1)-WEEKDAY(DATE($AH$3,2,1))+1+12</f>
        <v/>
      </c>
      <c r="O6" s="6">
        <f>DATE($AH$3,2,1)-WEEKDAY(DATE($AH$3,2,1))+1+13</f>
        <v/>
      </c>
      <c r="Q6" s="6">
        <f>DATE($AH$3,3,1)-WEEKDAY(DATE($AH$3,3,1))+1+7</f>
        <v/>
      </c>
      <c r="R6" s="6">
        <f>DATE($AH$3,3,1)-WEEKDAY(DATE($AH$3,3,1))+1+8</f>
        <v/>
      </c>
      <c r="S6" s="6">
        <f>DATE($AH$3,3,1)-WEEKDAY(DATE($AH$3,3,1))+1+9</f>
        <v/>
      </c>
      <c r="T6" s="6">
        <f>DATE($AH$3,3,1)-WEEKDAY(DATE($AH$3,3,1))+1+10</f>
        <v/>
      </c>
      <c r="U6" s="6">
        <f>DATE($AH$3,3,1)-WEEKDAY(DATE($AH$3,3,1))+1+11</f>
        <v/>
      </c>
      <c r="V6" s="6">
        <f>DATE($AH$3,3,1)-WEEKDAY(DATE($AH$3,3,1))+1+12</f>
        <v/>
      </c>
      <c r="W6" s="6">
        <f>DATE($AH$3,3,1)-WEEKDAY(DATE($AH$3,3,1))+1+13</f>
        <v/>
      </c>
      <c r="Y6" s="6">
        <f>DATE($AH$3,4,1)-WEEKDAY(DATE($AH$3,4,1))+1+7</f>
        <v/>
      </c>
      <c r="Z6" s="6">
        <f>DATE($AH$3,4,1)-WEEKDAY(DATE($AH$3,4,1))+1+8</f>
        <v/>
      </c>
      <c r="AA6" s="6">
        <f>DATE($AH$3,4,1)-WEEKDAY(DATE($AH$3,4,1))+1+9</f>
        <v/>
      </c>
      <c r="AB6" s="6">
        <f>DATE($AH$3,4,1)-WEEKDAY(DATE($AH$3,4,1))+1+10</f>
        <v/>
      </c>
      <c r="AC6" s="6">
        <f>DATE($AH$3,4,1)-WEEKDAY(DATE($AH$3,4,1))+1+11</f>
        <v/>
      </c>
      <c r="AD6" s="6">
        <f>DATE($AH$3,4,1)-WEEKDAY(DATE($AH$3,4,1))+1+12</f>
        <v/>
      </c>
      <c r="AE6" s="6">
        <f>DATE($AH$3,4,1)-WEEKDAY(DATE($AH$3,4,1))+1+13</f>
        <v/>
      </c>
      <c r="AG6" s="8" t="inlineStr">
        <is>
          <t>Date</t>
        </is>
      </c>
      <c r="AH6" s="8" t="inlineStr">
        <is>
          <t>Description</t>
        </is>
      </c>
    </row>
    <row r="7">
      <c r="A7" s="6">
        <f>DATE($AH$3,1,1)-WEEKDAY(DATE($AH$3,1,1))+1+14</f>
        <v/>
      </c>
      <c r="B7" s="6">
        <f>DATE($AH$3,1,1)-WEEKDAY(DATE($AH$3,1,1))+1+15</f>
        <v/>
      </c>
      <c r="C7" s="6">
        <f>DATE($AH$3,1,1)-WEEKDAY(DATE($AH$3,1,1))+1+16</f>
        <v/>
      </c>
      <c r="D7" s="6">
        <f>DATE($AH$3,1,1)-WEEKDAY(DATE($AH$3,1,1))+1+17</f>
        <v/>
      </c>
      <c r="E7" s="6">
        <f>DATE($AH$3,1,1)-WEEKDAY(DATE($AH$3,1,1))+1+18</f>
        <v/>
      </c>
      <c r="F7" s="6">
        <f>DATE($AH$3,1,1)-WEEKDAY(DATE($AH$3,1,1))+1+19</f>
        <v/>
      </c>
      <c r="G7" s="6">
        <f>DATE($AH$3,1,1)-WEEKDAY(DATE($AH$3,1,1))+1+20</f>
        <v/>
      </c>
      <c r="I7" s="6">
        <f>DATE($AH$3,2,1)-WEEKDAY(DATE($AH$3,2,1))+1+14</f>
        <v/>
      </c>
      <c r="J7" s="6">
        <f>DATE($AH$3,2,1)-WEEKDAY(DATE($AH$3,2,1))+1+15</f>
        <v/>
      </c>
      <c r="K7" s="6">
        <f>DATE($AH$3,2,1)-WEEKDAY(DATE($AH$3,2,1))+1+16</f>
        <v/>
      </c>
      <c r="L7" s="6">
        <f>DATE($AH$3,2,1)-WEEKDAY(DATE($AH$3,2,1))+1+17</f>
        <v/>
      </c>
      <c r="M7" s="6">
        <f>DATE($AH$3,2,1)-WEEKDAY(DATE($AH$3,2,1))+1+18</f>
        <v/>
      </c>
      <c r="N7" s="6">
        <f>DATE($AH$3,2,1)-WEEKDAY(DATE($AH$3,2,1))+1+19</f>
        <v/>
      </c>
      <c r="O7" s="6">
        <f>DATE($AH$3,2,1)-WEEKDAY(DATE($AH$3,2,1))+1+20</f>
        <v/>
      </c>
      <c r="Q7" s="6">
        <f>DATE($AH$3,3,1)-WEEKDAY(DATE($AH$3,3,1))+1+14</f>
        <v/>
      </c>
      <c r="R7" s="6">
        <f>DATE($AH$3,3,1)-WEEKDAY(DATE($AH$3,3,1))+1+15</f>
        <v/>
      </c>
      <c r="S7" s="6">
        <f>DATE($AH$3,3,1)-WEEKDAY(DATE($AH$3,3,1))+1+16</f>
        <v/>
      </c>
      <c r="T7" s="6">
        <f>DATE($AH$3,3,1)-WEEKDAY(DATE($AH$3,3,1))+1+17</f>
        <v/>
      </c>
      <c r="U7" s="6">
        <f>DATE($AH$3,3,1)-WEEKDAY(DATE($AH$3,3,1))+1+18</f>
        <v/>
      </c>
      <c r="V7" s="6">
        <f>DATE($AH$3,3,1)-WEEKDAY(DATE($AH$3,3,1))+1+19</f>
        <v/>
      </c>
      <c r="W7" s="6">
        <f>DATE($AH$3,3,1)-WEEKDAY(DATE($AH$3,3,1))+1+20</f>
        <v/>
      </c>
      <c r="Y7" s="6">
        <f>DATE($AH$3,4,1)-WEEKDAY(DATE($AH$3,4,1))+1+14</f>
        <v/>
      </c>
      <c r="Z7" s="6">
        <f>DATE($AH$3,4,1)-WEEKDAY(DATE($AH$3,4,1))+1+15</f>
        <v/>
      </c>
      <c r="AA7" s="6">
        <f>DATE($AH$3,4,1)-WEEKDAY(DATE($AH$3,4,1))+1+16</f>
        <v/>
      </c>
      <c r="AB7" s="6">
        <f>DATE($AH$3,4,1)-WEEKDAY(DATE($AH$3,4,1))+1+17</f>
        <v/>
      </c>
      <c r="AC7" s="6">
        <f>DATE($AH$3,4,1)-WEEKDAY(DATE($AH$3,4,1))+1+18</f>
        <v/>
      </c>
      <c r="AD7" s="6">
        <f>DATE($AH$3,4,1)-WEEKDAY(DATE($AH$3,4,1))+1+19</f>
        <v/>
      </c>
      <c r="AE7" s="6">
        <f>DATE($AH$3,4,1)-WEEKDAY(DATE($AH$3,4,1))+1+20</f>
        <v/>
      </c>
      <c r="AG7" s="9">
        <f>DATE($AH$3,1,1)</f>
        <v/>
      </c>
      <c r="AH7" s="10" t="inlineStr">
        <is>
          <t>New Year's Day</t>
        </is>
      </c>
    </row>
    <row r="8">
      <c r="A8" s="6">
        <f>DATE($AH$3,1,1)-WEEKDAY(DATE($AH$3,1,1))+1+21</f>
        <v/>
      </c>
      <c r="B8" s="6">
        <f>DATE($AH$3,1,1)-WEEKDAY(DATE($AH$3,1,1))+1+22</f>
        <v/>
      </c>
      <c r="C8" s="6">
        <f>DATE($AH$3,1,1)-WEEKDAY(DATE($AH$3,1,1))+1+23</f>
        <v/>
      </c>
      <c r="D8" s="6">
        <f>DATE($AH$3,1,1)-WEEKDAY(DATE($AH$3,1,1))+1+24</f>
        <v/>
      </c>
      <c r="E8" s="6">
        <f>DATE($AH$3,1,1)-WEEKDAY(DATE($AH$3,1,1))+1+25</f>
        <v/>
      </c>
      <c r="F8" s="6">
        <f>DATE($AH$3,1,1)-WEEKDAY(DATE($AH$3,1,1))+1+26</f>
        <v/>
      </c>
      <c r="G8" s="6">
        <f>DATE($AH$3,1,1)-WEEKDAY(DATE($AH$3,1,1))+1+27</f>
        <v/>
      </c>
      <c r="I8" s="6">
        <f>DATE($AH$3,2,1)-WEEKDAY(DATE($AH$3,2,1))+1+21</f>
        <v/>
      </c>
      <c r="J8" s="6">
        <f>DATE($AH$3,2,1)-WEEKDAY(DATE($AH$3,2,1))+1+22</f>
        <v/>
      </c>
      <c r="K8" s="6">
        <f>DATE($AH$3,2,1)-WEEKDAY(DATE($AH$3,2,1))+1+23</f>
        <v/>
      </c>
      <c r="L8" s="6">
        <f>DATE($AH$3,2,1)-WEEKDAY(DATE($AH$3,2,1))+1+24</f>
        <v/>
      </c>
      <c r="M8" s="6">
        <f>DATE($AH$3,2,1)-WEEKDAY(DATE($AH$3,2,1))+1+25</f>
        <v/>
      </c>
      <c r="N8" s="6">
        <f>DATE($AH$3,2,1)-WEEKDAY(DATE($AH$3,2,1))+1+26</f>
        <v/>
      </c>
      <c r="O8" s="6">
        <f>DATE($AH$3,2,1)-WEEKDAY(DATE($AH$3,2,1))+1+27</f>
        <v/>
      </c>
      <c r="Q8" s="6">
        <f>DATE($AH$3,3,1)-WEEKDAY(DATE($AH$3,3,1))+1+21</f>
        <v/>
      </c>
      <c r="R8" s="6">
        <f>DATE($AH$3,3,1)-WEEKDAY(DATE($AH$3,3,1))+1+22</f>
        <v/>
      </c>
      <c r="S8" s="6">
        <f>DATE($AH$3,3,1)-WEEKDAY(DATE($AH$3,3,1))+1+23</f>
        <v/>
      </c>
      <c r="T8" s="6">
        <f>DATE($AH$3,3,1)-WEEKDAY(DATE($AH$3,3,1))+1+24</f>
        <v/>
      </c>
      <c r="U8" s="6">
        <f>DATE($AH$3,3,1)-WEEKDAY(DATE($AH$3,3,1))+1+25</f>
        <v/>
      </c>
      <c r="V8" s="6">
        <f>DATE($AH$3,3,1)-WEEKDAY(DATE($AH$3,3,1))+1+26</f>
        <v/>
      </c>
      <c r="W8" s="6">
        <f>DATE($AH$3,3,1)-WEEKDAY(DATE($AH$3,3,1))+1+27</f>
        <v/>
      </c>
      <c r="Y8" s="6">
        <f>DATE($AH$3,4,1)-WEEKDAY(DATE($AH$3,4,1))+1+21</f>
        <v/>
      </c>
      <c r="Z8" s="6">
        <f>DATE($AH$3,4,1)-WEEKDAY(DATE($AH$3,4,1))+1+22</f>
        <v/>
      </c>
      <c r="AA8" s="6">
        <f>DATE($AH$3,4,1)-WEEKDAY(DATE($AH$3,4,1))+1+23</f>
        <v/>
      </c>
      <c r="AB8" s="6">
        <f>DATE($AH$3,4,1)-WEEKDAY(DATE($AH$3,4,1))+1+24</f>
        <v/>
      </c>
      <c r="AC8" s="6">
        <f>DATE($AH$3,4,1)-WEEKDAY(DATE($AH$3,4,1))+1+25</f>
        <v/>
      </c>
      <c r="AD8" s="6">
        <f>DATE($AH$3,4,1)-WEEKDAY(DATE($AH$3,4,1))+1+26</f>
        <v/>
      </c>
      <c r="AE8" s="6">
        <f>DATE($AH$3,4,1)-WEEKDAY(DATE($AH$3,4,1))+1+27</f>
        <v/>
      </c>
      <c r="AG8" s="9">
        <f>DATE($AH$3,7,4)</f>
        <v/>
      </c>
      <c r="AH8" s="10" t="inlineStr">
        <is>
          <t>Independence Day</t>
        </is>
      </c>
    </row>
    <row r="9">
      <c r="A9" s="6">
        <f>DATE($AH$3,1,1)-WEEKDAY(DATE($AH$3,1,1))+1+28</f>
        <v/>
      </c>
      <c r="B9" s="6">
        <f>DATE($AH$3,1,1)-WEEKDAY(DATE($AH$3,1,1))+1+29</f>
        <v/>
      </c>
      <c r="C9" s="6">
        <f>DATE($AH$3,1,1)-WEEKDAY(DATE($AH$3,1,1))+1+30</f>
        <v/>
      </c>
      <c r="D9" s="6">
        <f>DATE($AH$3,1,1)-WEEKDAY(DATE($AH$3,1,1))+1+31</f>
        <v/>
      </c>
      <c r="E9" s="6">
        <f>DATE($AH$3,1,1)-WEEKDAY(DATE($AH$3,1,1))+1+32</f>
        <v/>
      </c>
      <c r="F9" s="6">
        <f>DATE($AH$3,1,1)-WEEKDAY(DATE($AH$3,1,1))+1+33</f>
        <v/>
      </c>
      <c r="G9" s="6">
        <f>DATE($AH$3,1,1)-WEEKDAY(DATE($AH$3,1,1))+1+34</f>
        <v/>
      </c>
      <c r="I9" s="6">
        <f>DATE($AH$3,2,1)-WEEKDAY(DATE($AH$3,2,1))+1+28</f>
        <v/>
      </c>
      <c r="J9" s="6">
        <f>DATE($AH$3,2,1)-WEEKDAY(DATE($AH$3,2,1))+1+29</f>
        <v/>
      </c>
      <c r="K9" s="6">
        <f>DATE($AH$3,2,1)-WEEKDAY(DATE($AH$3,2,1))+1+30</f>
        <v/>
      </c>
      <c r="L9" s="6">
        <f>DATE($AH$3,2,1)-WEEKDAY(DATE($AH$3,2,1))+1+31</f>
        <v/>
      </c>
      <c r="M9" s="6">
        <f>DATE($AH$3,2,1)-WEEKDAY(DATE($AH$3,2,1))+1+32</f>
        <v/>
      </c>
      <c r="N9" s="6">
        <f>DATE($AH$3,2,1)-WEEKDAY(DATE($AH$3,2,1))+1+33</f>
        <v/>
      </c>
      <c r="O9" s="6">
        <f>DATE($AH$3,2,1)-WEEKDAY(DATE($AH$3,2,1))+1+34</f>
        <v/>
      </c>
      <c r="Q9" s="6">
        <f>DATE($AH$3,3,1)-WEEKDAY(DATE($AH$3,3,1))+1+28</f>
        <v/>
      </c>
      <c r="R9" s="6">
        <f>DATE($AH$3,3,1)-WEEKDAY(DATE($AH$3,3,1))+1+29</f>
        <v/>
      </c>
      <c r="S9" s="6">
        <f>DATE($AH$3,3,1)-WEEKDAY(DATE($AH$3,3,1))+1+30</f>
        <v/>
      </c>
      <c r="T9" s="6">
        <f>DATE($AH$3,3,1)-WEEKDAY(DATE($AH$3,3,1))+1+31</f>
        <v/>
      </c>
      <c r="U9" s="6">
        <f>DATE($AH$3,3,1)-WEEKDAY(DATE($AH$3,3,1))+1+32</f>
        <v/>
      </c>
      <c r="V9" s="6">
        <f>DATE($AH$3,3,1)-WEEKDAY(DATE($AH$3,3,1))+1+33</f>
        <v/>
      </c>
      <c r="W9" s="6">
        <f>DATE($AH$3,3,1)-WEEKDAY(DATE($AH$3,3,1))+1+34</f>
        <v/>
      </c>
      <c r="Y9" s="6">
        <f>DATE($AH$3,4,1)-WEEKDAY(DATE($AH$3,4,1))+1+28</f>
        <v/>
      </c>
      <c r="Z9" s="6">
        <f>DATE($AH$3,4,1)-WEEKDAY(DATE($AH$3,4,1))+1+29</f>
        <v/>
      </c>
      <c r="AA9" s="6">
        <f>DATE($AH$3,4,1)-WEEKDAY(DATE($AH$3,4,1))+1+30</f>
        <v/>
      </c>
      <c r="AB9" s="6">
        <f>DATE($AH$3,4,1)-WEEKDAY(DATE($AH$3,4,1))+1+31</f>
        <v/>
      </c>
      <c r="AC9" s="6">
        <f>DATE($AH$3,4,1)-WEEKDAY(DATE($AH$3,4,1))+1+32</f>
        <v/>
      </c>
      <c r="AD9" s="6">
        <f>DATE($AH$3,4,1)-WEEKDAY(DATE($AH$3,4,1))+1+33</f>
        <v/>
      </c>
      <c r="AE9" s="6">
        <f>DATE($AH$3,4,1)-WEEKDAY(DATE($AH$3,4,1))+1+34</f>
        <v/>
      </c>
      <c r="AG9" s="9">
        <f>DATE($AH$3,12,25)</f>
        <v/>
      </c>
      <c r="AH9" s="10" t="inlineStr">
        <is>
          <t>Christmas Day</t>
        </is>
      </c>
    </row>
    <row r="10">
      <c r="A10" s="6">
        <f>DATE($AH$3,1,1)-WEEKDAY(DATE($AH$3,1,1))+1+35</f>
        <v/>
      </c>
      <c r="B10" s="6">
        <f>DATE($AH$3,1,1)-WEEKDAY(DATE($AH$3,1,1))+1+36</f>
        <v/>
      </c>
      <c r="C10" s="6">
        <f>DATE($AH$3,1,1)-WEEKDAY(DATE($AH$3,1,1))+1+37</f>
        <v/>
      </c>
      <c r="D10" s="6">
        <f>DATE($AH$3,1,1)-WEEKDAY(DATE($AH$3,1,1))+1+38</f>
        <v/>
      </c>
      <c r="E10" s="6">
        <f>DATE($AH$3,1,1)-WEEKDAY(DATE($AH$3,1,1))+1+39</f>
        <v/>
      </c>
      <c r="F10" s="6">
        <f>DATE($AH$3,1,1)-WEEKDAY(DATE($AH$3,1,1))+1+40</f>
        <v/>
      </c>
      <c r="G10" s="6">
        <f>DATE($AH$3,1,1)-WEEKDAY(DATE($AH$3,1,1))+1+41</f>
        <v/>
      </c>
      <c r="I10" s="6">
        <f>DATE($AH$3,2,1)-WEEKDAY(DATE($AH$3,2,1))+1+35</f>
        <v/>
      </c>
      <c r="J10" s="6">
        <f>DATE($AH$3,2,1)-WEEKDAY(DATE($AH$3,2,1))+1+36</f>
        <v/>
      </c>
      <c r="K10" s="6">
        <f>DATE($AH$3,2,1)-WEEKDAY(DATE($AH$3,2,1))+1+37</f>
        <v/>
      </c>
      <c r="L10" s="6">
        <f>DATE($AH$3,2,1)-WEEKDAY(DATE($AH$3,2,1))+1+38</f>
        <v/>
      </c>
      <c r="M10" s="6">
        <f>DATE($AH$3,2,1)-WEEKDAY(DATE($AH$3,2,1))+1+39</f>
        <v/>
      </c>
      <c r="N10" s="6">
        <f>DATE($AH$3,2,1)-WEEKDAY(DATE($AH$3,2,1))+1+40</f>
        <v/>
      </c>
      <c r="O10" s="6">
        <f>DATE($AH$3,2,1)-WEEKDAY(DATE($AH$3,2,1))+1+41</f>
        <v/>
      </c>
      <c r="Q10" s="6">
        <f>DATE($AH$3,3,1)-WEEKDAY(DATE($AH$3,3,1))+1+35</f>
        <v/>
      </c>
      <c r="R10" s="6">
        <f>DATE($AH$3,3,1)-WEEKDAY(DATE($AH$3,3,1))+1+36</f>
        <v/>
      </c>
      <c r="S10" s="6">
        <f>DATE($AH$3,3,1)-WEEKDAY(DATE($AH$3,3,1))+1+37</f>
        <v/>
      </c>
      <c r="T10" s="6">
        <f>DATE($AH$3,3,1)-WEEKDAY(DATE($AH$3,3,1))+1+38</f>
        <v/>
      </c>
      <c r="U10" s="6">
        <f>DATE($AH$3,3,1)-WEEKDAY(DATE($AH$3,3,1))+1+39</f>
        <v/>
      </c>
      <c r="V10" s="6">
        <f>DATE($AH$3,3,1)-WEEKDAY(DATE($AH$3,3,1))+1+40</f>
        <v/>
      </c>
      <c r="W10" s="6">
        <f>DATE($AH$3,3,1)-WEEKDAY(DATE($AH$3,3,1))+1+41</f>
        <v/>
      </c>
      <c r="Y10" s="6">
        <f>DATE($AH$3,4,1)-WEEKDAY(DATE($AH$3,4,1))+1+35</f>
        <v/>
      </c>
      <c r="Z10" s="6">
        <f>DATE($AH$3,4,1)-WEEKDAY(DATE($AH$3,4,1))+1+36</f>
        <v/>
      </c>
      <c r="AA10" s="6">
        <f>DATE($AH$3,4,1)-WEEKDAY(DATE($AH$3,4,1))+1+37</f>
        <v/>
      </c>
      <c r="AB10" s="6">
        <f>DATE($AH$3,4,1)-WEEKDAY(DATE($AH$3,4,1))+1+38</f>
        <v/>
      </c>
      <c r="AC10" s="6">
        <f>DATE($AH$3,4,1)-WEEKDAY(DATE($AH$3,4,1))+1+39</f>
        <v/>
      </c>
      <c r="AD10" s="6">
        <f>DATE($AH$3,4,1)-WEEKDAY(DATE($AH$3,4,1))+1+40</f>
        <v/>
      </c>
      <c r="AE10" s="6">
        <f>DATE($AH$3,4,1)-WEEKDAY(DATE($AH$3,4,1))+1+41</f>
        <v/>
      </c>
      <c r="AG10" s="9">
        <f>DATE($AH$3,12,26)</f>
        <v/>
      </c>
      <c r="AH10" s="10" t="inlineStr">
        <is>
          <t>Office closed</t>
        </is>
      </c>
    </row>
    <row r="11">
      <c r="AG11" s="9" t="inlineStr"/>
      <c r="AH11" s="10" t="inlineStr">
        <is>
          <t>[Company holiday]</t>
        </is>
      </c>
    </row>
    <row r="12">
      <c r="A12" s="3">
        <f>UPPER(TEXT(DATE($AH$3,5,1),"mmmm"))</f>
        <v/>
      </c>
      <c r="I12" s="3">
        <f>UPPER(TEXT(DATE($AH$3,6,1),"mmmm"))</f>
        <v/>
      </c>
      <c r="Q12" s="3">
        <f>UPPER(TEXT(DATE($AH$3,7,1),"mmmm"))</f>
        <v/>
      </c>
      <c r="Y12" s="3">
        <f>UPPER(TEXT(DATE($AH$3,8,1),"mmmm"))</f>
        <v/>
      </c>
      <c r="AG12" s="9" t="inlineStr"/>
      <c r="AH12" s="10" t="inlineStr">
        <is>
          <t>[Company holiday]</t>
        </is>
      </c>
    </row>
    <row r="13">
      <c r="A13" s="5" t="inlineStr">
        <is>
          <t>S</t>
        </is>
      </c>
      <c r="B13" s="5" t="inlineStr">
        <is>
          <t>M</t>
        </is>
      </c>
      <c r="C13" s="5" t="inlineStr">
        <is>
          <t>T</t>
        </is>
      </c>
      <c r="D13" s="5" t="inlineStr">
        <is>
          <t>W</t>
        </is>
      </c>
      <c r="E13" s="5" t="inlineStr">
        <is>
          <t>T</t>
        </is>
      </c>
      <c r="F13" s="5" t="inlineStr">
        <is>
          <t>F</t>
        </is>
      </c>
      <c r="G13" s="5" t="inlineStr">
        <is>
          <t>S</t>
        </is>
      </c>
      <c r="I13" s="5" t="inlineStr">
        <is>
          <t>S</t>
        </is>
      </c>
      <c r="J13" s="5" t="inlineStr">
        <is>
          <t>M</t>
        </is>
      </c>
      <c r="K13" s="5" t="inlineStr">
        <is>
          <t>T</t>
        </is>
      </c>
      <c r="L13" s="5" t="inlineStr">
        <is>
          <t>W</t>
        </is>
      </c>
      <c r="M13" s="5" t="inlineStr">
        <is>
          <t>T</t>
        </is>
      </c>
      <c r="N13" s="5" t="inlineStr">
        <is>
          <t>F</t>
        </is>
      </c>
      <c r="O13" s="5" t="inlineStr">
        <is>
          <t>S</t>
        </is>
      </c>
      <c r="Q13" s="5" t="inlineStr">
        <is>
          <t>S</t>
        </is>
      </c>
      <c r="R13" s="5" t="inlineStr">
        <is>
          <t>M</t>
        </is>
      </c>
      <c r="S13" s="5" t="inlineStr">
        <is>
          <t>T</t>
        </is>
      </c>
      <c r="T13" s="5" t="inlineStr">
        <is>
          <t>W</t>
        </is>
      </c>
      <c r="U13" s="5" t="inlineStr">
        <is>
          <t>T</t>
        </is>
      </c>
      <c r="V13" s="5" t="inlineStr">
        <is>
          <t>F</t>
        </is>
      </c>
      <c r="W13" s="5" t="inlineStr">
        <is>
          <t>S</t>
        </is>
      </c>
      <c r="Y13" s="5" t="inlineStr">
        <is>
          <t>S</t>
        </is>
      </c>
      <c r="Z13" s="5" t="inlineStr">
        <is>
          <t>M</t>
        </is>
      </c>
      <c r="AA13" s="5" t="inlineStr">
        <is>
          <t>T</t>
        </is>
      </c>
      <c r="AB13" s="5" t="inlineStr">
        <is>
          <t>W</t>
        </is>
      </c>
      <c r="AC13" s="5" t="inlineStr">
        <is>
          <t>T</t>
        </is>
      </c>
      <c r="AD13" s="5" t="inlineStr">
        <is>
          <t>F</t>
        </is>
      </c>
      <c r="AE13" s="5" t="inlineStr">
        <is>
          <t>S</t>
        </is>
      </c>
      <c r="AG13" s="9" t="inlineStr"/>
      <c r="AH13" s="10" t="inlineStr">
        <is>
          <t>[Training day]</t>
        </is>
      </c>
    </row>
    <row r="14">
      <c r="A14" s="6">
        <f>DATE($AH$3,5,1)-WEEKDAY(DATE($AH$3,5,1))+1+0</f>
        <v/>
      </c>
      <c r="B14" s="6">
        <f>DATE($AH$3,5,1)-WEEKDAY(DATE($AH$3,5,1))+1+1</f>
        <v/>
      </c>
      <c r="C14" s="6">
        <f>DATE($AH$3,5,1)-WEEKDAY(DATE($AH$3,5,1))+1+2</f>
        <v/>
      </c>
      <c r="D14" s="6">
        <f>DATE($AH$3,5,1)-WEEKDAY(DATE($AH$3,5,1))+1+3</f>
        <v/>
      </c>
      <c r="E14" s="6">
        <f>DATE($AH$3,5,1)-WEEKDAY(DATE($AH$3,5,1))+1+4</f>
        <v/>
      </c>
      <c r="F14" s="6">
        <f>DATE($AH$3,5,1)-WEEKDAY(DATE($AH$3,5,1))+1+5</f>
        <v/>
      </c>
      <c r="G14" s="6">
        <f>DATE($AH$3,5,1)-WEEKDAY(DATE($AH$3,5,1))+1+6</f>
        <v/>
      </c>
      <c r="I14" s="6">
        <f>DATE($AH$3,6,1)-WEEKDAY(DATE($AH$3,6,1))+1+0</f>
        <v/>
      </c>
      <c r="J14" s="6">
        <f>DATE($AH$3,6,1)-WEEKDAY(DATE($AH$3,6,1))+1+1</f>
        <v/>
      </c>
      <c r="K14" s="6">
        <f>DATE($AH$3,6,1)-WEEKDAY(DATE($AH$3,6,1))+1+2</f>
        <v/>
      </c>
      <c r="L14" s="6">
        <f>DATE($AH$3,6,1)-WEEKDAY(DATE($AH$3,6,1))+1+3</f>
        <v/>
      </c>
      <c r="M14" s="6">
        <f>DATE($AH$3,6,1)-WEEKDAY(DATE($AH$3,6,1))+1+4</f>
        <v/>
      </c>
      <c r="N14" s="6">
        <f>DATE($AH$3,6,1)-WEEKDAY(DATE($AH$3,6,1))+1+5</f>
        <v/>
      </c>
      <c r="O14" s="6">
        <f>DATE($AH$3,6,1)-WEEKDAY(DATE($AH$3,6,1))+1+6</f>
        <v/>
      </c>
      <c r="Q14" s="6">
        <f>DATE($AH$3,7,1)-WEEKDAY(DATE($AH$3,7,1))+1+0</f>
        <v/>
      </c>
      <c r="R14" s="6">
        <f>DATE($AH$3,7,1)-WEEKDAY(DATE($AH$3,7,1))+1+1</f>
        <v/>
      </c>
      <c r="S14" s="6">
        <f>DATE($AH$3,7,1)-WEEKDAY(DATE($AH$3,7,1))+1+2</f>
        <v/>
      </c>
      <c r="T14" s="6">
        <f>DATE($AH$3,7,1)-WEEKDAY(DATE($AH$3,7,1))+1+3</f>
        <v/>
      </c>
      <c r="U14" s="6">
        <f>DATE($AH$3,7,1)-WEEKDAY(DATE($AH$3,7,1))+1+4</f>
        <v/>
      </c>
      <c r="V14" s="6">
        <f>DATE($AH$3,7,1)-WEEKDAY(DATE($AH$3,7,1))+1+5</f>
        <v/>
      </c>
      <c r="W14" s="6">
        <f>DATE($AH$3,7,1)-WEEKDAY(DATE($AH$3,7,1))+1+6</f>
        <v/>
      </c>
      <c r="Y14" s="6">
        <f>DATE($AH$3,8,1)-WEEKDAY(DATE($AH$3,8,1))+1+0</f>
        <v/>
      </c>
      <c r="Z14" s="6">
        <f>DATE($AH$3,8,1)-WEEKDAY(DATE($AH$3,8,1))+1+1</f>
        <v/>
      </c>
      <c r="AA14" s="6">
        <f>DATE($AH$3,8,1)-WEEKDAY(DATE($AH$3,8,1))+1+2</f>
        <v/>
      </c>
      <c r="AB14" s="6">
        <f>DATE($AH$3,8,1)-WEEKDAY(DATE($AH$3,8,1))+1+3</f>
        <v/>
      </c>
      <c r="AC14" s="6">
        <f>DATE($AH$3,8,1)-WEEKDAY(DATE($AH$3,8,1))+1+4</f>
        <v/>
      </c>
      <c r="AD14" s="6">
        <f>DATE($AH$3,8,1)-WEEKDAY(DATE($AH$3,8,1))+1+5</f>
        <v/>
      </c>
      <c r="AE14" s="6">
        <f>DATE($AH$3,8,1)-WEEKDAY(DATE($AH$3,8,1))+1+6</f>
        <v/>
      </c>
      <c r="AG14" s="9" t="inlineStr"/>
      <c r="AH14" s="10" t="inlineStr"/>
    </row>
    <row r="15">
      <c r="A15" s="6">
        <f>DATE($AH$3,5,1)-WEEKDAY(DATE($AH$3,5,1))+1+7</f>
        <v/>
      </c>
      <c r="B15" s="6">
        <f>DATE($AH$3,5,1)-WEEKDAY(DATE($AH$3,5,1))+1+8</f>
        <v/>
      </c>
      <c r="C15" s="6">
        <f>DATE($AH$3,5,1)-WEEKDAY(DATE($AH$3,5,1))+1+9</f>
        <v/>
      </c>
      <c r="D15" s="6">
        <f>DATE($AH$3,5,1)-WEEKDAY(DATE($AH$3,5,1))+1+10</f>
        <v/>
      </c>
      <c r="E15" s="6">
        <f>DATE($AH$3,5,1)-WEEKDAY(DATE($AH$3,5,1))+1+11</f>
        <v/>
      </c>
      <c r="F15" s="6">
        <f>DATE($AH$3,5,1)-WEEKDAY(DATE($AH$3,5,1))+1+12</f>
        <v/>
      </c>
      <c r="G15" s="6">
        <f>DATE($AH$3,5,1)-WEEKDAY(DATE($AH$3,5,1))+1+13</f>
        <v/>
      </c>
      <c r="I15" s="6">
        <f>DATE($AH$3,6,1)-WEEKDAY(DATE($AH$3,6,1))+1+7</f>
        <v/>
      </c>
      <c r="J15" s="6">
        <f>DATE($AH$3,6,1)-WEEKDAY(DATE($AH$3,6,1))+1+8</f>
        <v/>
      </c>
      <c r="K15" s="6">
        <f>DATE($AH$3,6,1)-WEEKDAY(DATE($AH$3,6,1))+1+9</f>
        <v/>
      </c>
      <c r="L15" s="6">
        <f>DATE($AH$3,6,1)-WEEKDAY(DATE($AH$3,6,1))+1+10</f>
        <v/>
      </c>
      <c r="M15" s="6">
        <f>DATE($AH$3,6,1)-WEEKDAY(DATE($AH$3,6,1))+1+11</f>
        <v/>
      </c>
      <c r="N15" s="6">
        <f>DATE($AH$3,6,1)-WEEKDAY(DATE($AH$3,6,1))+1+12</f>
        <v/>
      </c>
      <c r="O15" s="6">
        <f>DATE($AH$3,6,1)-WEEKDAY(DATE($AH$3,6,1))+1+13</f>
        <v/>
      </c>
      <c r="Q15" s="6">
        <f>DATE($AH$3,7,1)-WEEKDAY(DATE($AH$3,7,1))+1+7</f>
        <v/>
      </c>
      <c r="R15" s="6">
        <f>DATE($AH$3,7,1)-WEEKDAY(DATE($AH$3,7,1))+1+8</f>
        <v/>
      </c>
      <c r="S15" s="6">
        <f>DATE($AH$3,7,1)-WEEKDAY(DATE($AH$3,7,1))+1+9</f>
        <v/>
      </c>
      <c r="T15" s="6">
        <f>DATE($AH$3,7,1)-WEEKDAY(DATE($AH$3,7,1))+1+10</f>
        <v/>
      </c>
      <c r="U15" s="6">
        <f>DATE($AH$3,7,1)-WEEKDAY(DATE($AH$3,7,1))+1+11</f>
        <v/>
      </c>
      <c r="V15" s="6">
        <f>DATE($AH$3,7,1)-WEEKDAY(DATE($AH$3,7,1))+1+12</f>
        <v/>
      </c>
      <c r="W15" s="6">
        <f>DATE($AH$3,7,1)-WEEKDAY(DATE($AH$3,7,1))+1+13</f>
        <v/>
      </c>
      <c r="Y15" s="6">
        <f>DATE($AH$3,8,1)-WEEKDAY(DATE($AH$3,8,1))+1+7</f>
        <v/>
      </c>
      <c r="Z15" s="6">
        <f>DATE($AH$3,8,1)-WEEKDAY(DATE($AH$3,8,1))+1+8</f>
        <v/>
      </c>
      <c r="AA15" s="6">
        <f>DATE($AH$3,8,1)-WEEKDAY(DATE($AH$3,8,1))+1+9</f>
        <v/>
      </c>
      <c r="AB15" s="6">
        <f>DATE($AH$3,8,1)-WEEKDAY(DATE($AH$3,8,1))+1+10</f>
        <v/>
      </c>
      <c r="AC15" s="6">
        <f>DATE($AH$3,8,1)-WEEKDAY(DATE($AH$3,8,1))+1+11</f>
        <v/>
      </c>
      <c r="AD15" s="6">
        <f>DATE($AH$3,8,1)-WEEKDAY(DATE($AH$3,8,1))+1+12</f>
        <v/>
      </c>
      <c r="AE15" s="6">
        <f>DATE($AH$3,8,1)-WEEKDAY(DATE($AH$3,8,1))+1+13</f>
        <v/>
      </c>
    </row>
    <row r="16">
      <c r="A16" s="6">
        <f>DATE($AH$3,5,1)-WEEKDAY(DATE($AH$3,5,1))+1+14</f>
        <v/>
      </c>
      <c r="B16" s="6">
        <f>DATE($AH$3,5,1)-WEEKDAY(DATE($AH$3,5,1))+1+15</f>
        <v/>
      </c>
      <c r="C16" s="6">
        <f>DATE($AH$3,5,1)-WEEKDAY(DATE($AH$3,5,1))+1+16</f>
        <v/>
      </c>
      <c r="D16" s="6">
        <f>DATE($AH$3,5,1)-WEEKDAY(DATE($AH$3,5,1))+1+17</f>
        <v/>
      </c>
      <c r="E16" s="6">
        <f>DATE($AH$3,5,1)-WEEKDAY(DATE($AH$3,5,1))+1+18</f>
        <v/>
      </c>
      <c r="F16" s="6">
        <f>DATE($AH$3,5,1)-WEEKDAY(DATE($AH$3,5,1))+1+19</f>
        <v/>
      </c>
      <c r="G16" s="6">
        <f>DATE($AH$3,5,1)-WEEKDAY(DATE($AH$3,5,1))+1+20</f>
        <v/>
      </c>
      <c r="I16" s="6">
        <f>DATE($AH$3,6,1)-WEEKDAY(DATE($AH$3,6,1))+1+14</f>
        <v/>
      </c>
      <c r="J16" s="6">
        <f>DATE($AH$3,6,1)-WEEKDAY(DATE($AH$3,6,1))+1+15</f>
        <v/>
      </c>
      <c r="K16" s="6">
        <f>DATE($AH$3,6,1)-WEEKDAY(DATE($AH$3,6,1))+1+16</f>
        <v/>
      </c>
      <c r="L16" s="6">
        <f>DATE($AH$3,6,1)-WEEKDAY(DATE($AH$3,6,1))+1+17</f>
        <v/>
      </c>
      <c r="M16" s="6">
        <f>DATE($AH$3,6,1)-WEEKDAY(DATE($AH$3,6,1))+1+18</f>
        <v/>
      </c>
      <c r="N16" s="6">
        <f>DATE($AH$3,6,1)-WEEKDAY(DATE($AH$3,6,1))+1+19</f>
        <v/>
      </c>
      <c r="O16" s="6">
        <f>DATE($AH$3,6,1)-WEEKDAY(DATE($AH$3,6,1))+1+20</f>
        <v/>
      </c>
      <c r="Q16" s="6">
        <f>DATE($AH$3,7,1)-WEEKDAY(DATE($AH$3,7,1))+1+14</f>
        <v/>
      </c>
      <c r="R16" s="6">
        <f>DATE($AH$3,7,1)-WEEKDAY(DATE($AH$3,7,1))+1+15</f>
        <v/>
      </c>
      <c r="S16" s="6">
        <f>DATE($AH$3,7,1)-WEEKDAY(DATE($AH$3,7,1))+1+16</f>
        <v/>
      </c>
      <c r="T16" s="6">
        <f>DATE($AH$3,7,1)-WEEKDAY(DATE($AH$3,7,1))+1+17</f>
        <v/>
      </c>
      <c r="U16" s="6">
        <f>DATE($AH$3,7,1)-WEEKDAY(DATE($AH$3,7,1))+1+18</f>
        <v/>
      </c>
      <c r="V16" s="6">
        <f>DATE($AH$3,7,1)-WEEKDAY(DATE($AH$3,7,1))+1+19</f>
        <v/>
      </c>
      <c r="W16" s="6">
        <f>DATE($AH$3,7,1)-WEEKDAY(DATE($AH$3,7,1))+1+20</f>
        <v/>
      </c>
      <c r="Y16" s="6">
        <f>DATE($AH$3,8,1)-WEEKDAY(DATE($AH$3,8,1))+1+14</f>
        <v/>
      </c>
      <c r="Z16" s="6">
        <f>DATE($AH$3,8,1)-WEEKDAY(DATE($AH$3,8,1))+1+15</f>
        <v/>
      </c>
      <c r="AA16" s="6">
        <f>DATE($AH$3,8,1)-WEEKDAY(DATE($AH$3,8,1))+1+16</f>
        <v/>
      </c>
      <c r="AB16" s="6">
        <f>DATE($AH$3,8,1)-WEEKDAY(DATE($AH$3,8,1))+1+17</f>
        <v/>
      </c>
      <c r="AC16" s="6">
        <f>DATE($AH$3,8,1)-WEEKDAY(DATE($AH$3,8,1))+1+18</f>
        <v/>
      </c>
      <c r="AD16" s="6">
        <f>DATE($AH$3,8,1)-WEEKDAY(DATE($AH$3,8,1))+1+19</f>
        <v/>
      </c>
      <c r="AE16" s="6">
        <f>DATE($AH$3,8,1)-WEEKDAY(DATE($AH$3,8,1))+1+20</f>
        <v/>
      </c>
    </row>
    <row r="17">
      <c r="A17" s="6">
        <f>DATE($AH$3,5,1)-WEEKDAY(DATE($AH$3,5,1))+1+21</f>
        <v/>
      </c>
      <c r="B17" s="6">
        <f>DATE($AH$3,5,1)-WEEKDAY(DATE($AH$3,5,1))+1+22</f>
        <v/>
      </c>
      <c r="C17" s="6">
        <f>DATE($AH$3,5,1)-WEEKDAY(DATE($AH$3,5,1))+1+23</f>
        <v/>
      </c>
      <c r="D17" s="6">
        <f>DATE($AH$3,5,1)-WEEKDAY(DATE($AH$3,5,1))+1+24</f>
        <v/>
      </c>
      <c r="E17" s="6">
        <f>DATE($AH$3,5,1)-WEEKDAY(DATE($AH$3,5,1))+1+25</f>
        <v/>
      </c>
      <c r="F17" s="6">
        <f>DATE($AH$3,5,1)-WEEKDAY(DATE($AH$3,5,1))+1+26</f>
        <v/>
      </c>
      <c r="G17" s="6">
        <f>DATE($AH$3,5,1)-WEEKDAY(DATE($AH$3,5,1))+1+27</f>
        <v/>
      </c>
      <c r="I17" s="6">
        <f>DATE($AH$3,6,1)-WEEKDAY(DATE($AH$3,6,1))+1+21</f>
        <v/>
      </c>
      <c r="J17" s="6">
        <f>DATE($AH$3,6,1)-WEEKDAY(DATE($AH$3,6,1))+1+22</f>
        <v/>
      </c>
      <c r="K17" s="6">
        <f>DATE($AH$3,6,1)-WEEKDAY(DATE($AH$3,6,1))+1+23</f>
        <v/>
      </c>
      <c r="L17" s="6">
        <f>DATE($AH$3,6,1)-WEEKDAY(DATE($AH$3,6,1))+1+24</f>
        <v/>
      </c>
      <c r="M17" s="6">
        <f>DATE($AH$3,6,1)-WEEKDAY(DATE($AH$3,6,1))+1+25</f>
        <v/>
      </c>
      <c r="N17" s="6">
        <f>DATE($AH$3,6,1)-WEEKDAY(DATE($AH$3,6,1))+1+26</f>
        <v/>
      </c>
      <c r="O17" s="6">
        <f>DATE($AH$3,6,1)-WEEKDAY(DATE($AH$3,6,1))+1+27</f>
        <v/>
      </c>
      <c r="Q17" s="6">
        <f>DATE($AH$3,7,1)-WEEKDAY(DATE($AH$3,7,1))+1+21</f>
        <v/>
      </c>
      <c r="R17" s="6">
        <f>DATE($AH$3,7,1)-WEEKDAY(DATE($AH$3,7,1))+1+22</f>
        <v/>
      </c>
      <c r="S17" s="6">
        <f>DATE($AH$3,7,1)-WEEKDAY(DATE($AH$3,7,1))+1+23</f>
        <v/>
      </c>
      <c r="T17" s="6">
        <f>DATE($AH$3,7,1)-WEEKDAY(DATE($AH$3,7,1))+1+24</f>
        <v/>
      </c>
      <c r="U17" s="6">
        <f>DATE($AH$3,7,1)-WEEKDAY(DATE($AH$3,7,1))+1+25</f>
        <v/>
      </c>
      <c r="V17" s="6">
        <f>DATE($AH$3,7,1)-WEEKDAY(DATE($AH$3,7,1))+1+26</f>
        <v/>
      </c>
      <c r="W17" s="6">
        <f>DATE($AH$3,7,1)-WEEKDAY(DATE($AH$3,7,1))+1+27</f>
        <v/>
      </c>
      <c r="Y17" s="6">
        <f>DATE($AH$3,8,1)-WEEKDAY(DATE($AH$3,8,1))+1+21</f>
        <v/>
      </c>
      <c r="Z17" s="6">
        <f>DATE($AH$3,8,1)-WEEKDAY(DATE($AH$3,8,1))+1+22</f>
        <v/>
      </c>
      <c r="AA17" s="6">
        <f>DATE($AH$3,8,1)-WEEKDAY(DATE($AH$3,8,1))+1+23</f>
        <v/>
      </c>
      <c r="AB17" s="6">
        <f>DATE($AH$3,8,1)-WEEKDAY(DATE($AH$3,8,1))+1+24</f>
        <v/>
      </c>
      <c r="AC17" s="6">
        <f>DATE($AH$3,8,1)-WEEKDAY(DATE($AH$3,8,1))+1+25</f>
        <v/>
      </c>
      <c r="AD17" s="6">
        <f>DATE($AH$3,8,1)-WEEKDAY(DATE($AH$3,8,1))+1+26</f>
        <v/>
      </c>
      <c r="AE17" s="6">
        <f>DATE($AH$3,8,1)-WEEKDAY(DATE($AH$3,8,1))+1+27</f>
        <v/>
      </c>
      <c r="AG17" s="7" t="inlineStr">
        <is>
          <t>KEY</t>
        </is>
      </c>
    </row>
    <row r="18">
      <c r="A18" s="6">
        <f>DATE($AH$3,5,1)-WEEKDAY(DATE($AH$3,5,1))+1+28</f>
        <v/>
      </c>
      <c r="B18" s="6">
        <f>DATE($AH$3,5,1)-WEEKDAY(DATE($AH$3,5,1))+1+29</f>
        <v/>
      </c>
      <c r="C18" s="6">
        <f>DATE($AH$3,5,1)-WEEKDAY(DATE($AH$3,5,1))+1+30</f>
        <v/>
      </c>
      <c r="D18" s="6">
        <f>DATE($AH$3,5,1)-WEEKDAY(DATE($AH$3,5,1))+1+31</f>
        <v/>
      </c>
      <c r="E18" s="6">
        <f>DATE($AH$3,5,1)-WEEKDAY(DATE($AH$3,5,1))+1+32</f>
        <v/>
      </c>
      <c r="F18" s="6">
        <f>DATE($AH$3,5,1)-WEEKDAY(DATE($AH$3,5,1))+1+33</f>
        <v/>
      </c>
      <c r="G18" s="6">
        <f>DATE($AH$3,5,1)-WEEKDAY(DATE($AH$3,5,1))+1+34</f>
        <v/>
      </c>
      <c r="I18" s="6">
        <f>DATE($AH$3,6,1)-WEEKDAY(DATE($AH$3,6,1))+1+28</f>
        <v/>
      </c>
      <c r="J18" s="6">
        <f>DATE($AH$3,6,1)-WEEKDAY(DATE($AH$3,6,1))+1+29</f>
        <v/>
      </c>
      <c r="K18" s="6">
        <f>DATE($AH$3,6,1)-WEEKDAY(DATE($AH$3,6,1))+1+30</f>
        <v/>
      </c>
      <c r="L18" s="6">
        <f>DATE($AH$3,6,1)-WEEKDAY(DATE($AH$3,6,1))+1+31</f>
        <v/>
      </c>
      <c r="M18" s="6">
        <f>DATE($AH$3,6,1)-WEEKDAY(DATE($AH$3,6,1))+1+32</f>
        <v/>
      </c>
      <c r="N18" s="6">
        <f>DATE($AH$3,6,1)-WEEKDAY(DATE($AH$3,6,1))+1+33</f>
        <v/>
      </c>
      <c r="O18" s="6">
        <f>DATE($AH$3,6,1)-WEEKDAY(DATE($AH$3,6,1))+1+34</f>
        <v/>
      </c>
      <c r="Q18" s="6">
        <f>DATE($AH$3,7,1)-WEEKDAY(DATE($AH$3,7,1))+1+28</f>
        <v/>
      </c>
      <c r="R18" s="6">
        <f>DATE($AH$3,7,1)-WEEKDAY(DATE($AH$3,7,1))+1+29</f>
        <v/>
      </c>
      <c r="S18" s="6">
        <f>DATE($AH$3,7,1)-WEEKDAY(DATE($AH$3,7,1))+1+30</f>
        <v/>
      </c>
      <c r="T18" s="6">
        <f>DATE($AH$3,7,1)-WEEKDAY(DATE($AH$3,7,1))+1+31</f>
        <v/>
      </c>
      <c r="U18" s="6">
        <f>DATE($AH$3,7,1)-WEEKDAY(DATE($AH$3,7,1))+1+32</f>
        <v/>
      </c>
      <c r="V18" s="6">
        <f>DATE($AH$3,7,1)-WEEKDAY(DATE($AH$3,7,1))+1+33</f>
        <v/>
      </c>
      <c r="W18" s="6">
        <f>DATE($AH$3,7,1)-WEEKDAY(DATE($AH$3,7,1))+1+34</f>
        <v/>
      </c>
      <c r="Y18" s="6">
        <f>DATE($AH$3,8,1)-WEEKDAY(DATE($AH$3,8,1))+1+28</f>
        <v/>
      </c>
      <c r="Z18" s="6">
        <f>DATE($AH$3,8,1)-WEEKDAY(DATE($AH$3,8,1))+1+29</f>
        <v/>
      </c>
      <c r="AA18" s="6">
        <f>DATE($AH$3,8,1)-WEEKDAY(DATE($AH$3,8,1))+1+30</f>
        <v/>
      </c>
      <c r="AB18" s="6">
        <f>DATE($AH$3,8,1)-WEEKDAY(DATE($AH$3,8,1))+1+31</f>
        <v/>
      </c>
      <c r="AC18" s="6">
        <f>DATE($AH$3,8,1)-WEEKDAY(DATE($AH$3,8,1))+1+32</f>
        <v/>
      </c>
      <c r="AD18" s="6">
        <f>DATE($AH$3,8,1)-WEEKDAY(DATE($AH$3,8,1))+1+33</f>
        <v/>
      </c>
      <c r="AE18" s="6">
        <f>DATE($AH$3,8,1)-WEEKDAY(DATE($AH$3,8,1))+1+34</f>
        <v/>
      </c>
      <c r="AG18" s="11" t="n"/>
      <c r="AH18" s="12" t="inlineStr">
        <is>
          <t>Listed closure / holiday</t>
        </is>
      </c>
    </row>
    <row r="19">
      <c r="A19" s="6">
        <f>DATE($AH$3,5,1)-WEEKDAY(DATE($AH$3,5,1))+1+35</f>
        <v/>
      </c>
      <c r="B19" s="6">
        <f>DATE($AH$3,5,1)-WEEKDAY(DATE($AH$3,5,1))+1+36</f>
        <v/>
      </c>
      <c r="C19" s="6">
        <f>DATE($AH$3,5,1)-WEEKDAY(DATE($AH$3,5,1))+1+37</f>
        <v/>
      </c>
      <c r="D19" s="6">
        <f>DATE($AH$3,5,1)-WEEKDAY(DATE($AH$3,5,1))+1+38</f>
        <v/>
      </c>
      <c r="E19" s="6">
        <f>DATE($AH$3,5,1)-WEEKDAY(DATE($AH$3,5,1))+1+39</f>
        <v/>
      </c>
      <c r="F19" s="6">
        <f>DATE($AH$3,5,1)-WEEKDAY(DATE($AH$3,5,1))+1+40</f>
        <v/>
      </c>
      <c r="G19" s="6">
        <f>DATE($AH$3,5,1)-WEEKDAY(DATE($AH$3,5,1))+1+41</f>
        <v/>
      </c>
      <c r="I19" s="6">
        <f>DATE($AH$3,6,1)-WEEKDAY(DATE($AH$3,6,1))+1+35</f>
        <v/>
      </c>
      <c r="J19" s="6">
        <f>DATE($AH$3,6,1)-WEEKDAY(DATE($AH$3,6,1))+1+36</f>
        <v/>
      </c>
      <c r="K19" s="6">
        <f>DATE($AH$3,6,1)-WEEKDAY(DATE($AH$3,6,1))+1+37</f>
        <v/>
      </c>
      <c r="L19" s="6">
        <f>DATE($AH$3,6,1)-WEEKDAY(DATE($AH$3,6,1))+1+38</f>
        <v/>
      </c>
      <c r="M19" s="6">
        <f>DATE($AH$3,6,1)-WEEKDAY(DATE($AH$3,6,1))+1+39</f>
        <v/>
      </c>
      <c r="N19" s="6">
        <f>DATE($AH$3,6,1)-WEEKDAY(DATE($AH$3,6,1))+1+40</f>
        <v/>
      </c>
      <c r="O19" s="6">
        <f>DATE($AH$3,6,1)-WEEKDAY(DATE($AH$3,6,1))+1+41</f>
        <v/>
      </c>
      <c r="Q19" s="6">
        <f>DATE($AH$3,7,1)-WEEKDAY(DATE($AH$3,7,1))+1+35</f>
        <v/>
      </c>
      <c r="R19" s="6">
        <f>DATE($AH$3,7,1)-WEEKDAY(DATE($AH$3,7,1))+1+36</f>
        <v/>
      </c>
      <c r="S19" s="6">
        <f>DATE($AH$3,7,1)-WEEKDAY(DATE($AH$3,7,1))+1+37</f>
        <v/>
      </c>
      <c r="T19" s="6">
        <f>DATE($AH$3,7,1)-WEEKDAY(DATE($AH$3,7,1))+1+38</f>
        <v/>
      </c>
      <c r="U19" s="6">
        <f>DATE($AH$3,7,1)-WEEKDAY(DATE($AH$3,7,1))+1+39</f>
        <v/>
      </c>
      <c r="V19" s="6">
        <f>DATE($AH$3,7,1)-WEEKDAY(DATE($AH$3,7,1))+1+40</f>
        <v/>
      </c>
      <c r="W19" s="6">
        <f>DATE($AH$3,7,1)-WEEKDAY(DATE($AH$3,7,1))+1+41</f>
        <v/>
      </c>
      <c r="Y19" s="6">
        <f>DATE($AH$3,8,1)-WEEKDAY(DATE($AH$3,8,1))+1+35</f>
        <v/>
      </c>
      <c r="Z19" s="6">
        <f>DATE($AH$3,8,1)-WEEKDAY(DATE($AH$3,8,1))+1+36</f>
        <v/>
      </c>
      <c r="AA19" s="6">
        <f>DATE($AH$3,8,1)-WEEKDAY(DATE($AH$3,8,1))+1+37</f>
        <v/>
      </c>
      <c r="AB19" s="6">
        <f>DATE($AH$3,8,1)-WEEKDAY(DATE($AH$3,8,1))+1+38</f>
        <v/>
      </c>
      <c r="AC19" s="6">
        <f>DATE($AH$3,8,1)-WEEKDAY(DATE($AH$3,8,1))+1+39</f>
        <v/>
      </c>
      <c r="AD19" s="6">
        <f>DATE($AH$3,8,1)-WEEKDAY(DATE($AH$3,8,1))+1+40</f>
        <v/>
      </c>
      <c r="AE19" s="6">
        <f>DATE($AH$3,8,1)-WEEKDAY(DATE($AH$3,8,1))+1+41</f>
        <v/>
      </c>
      <c r="AG19" s="13" t="n"/>
      <c r="AH19" s="12" t="inlineStr">
        <is>
          <t>Weekend</t>
        </is>
      </c>
    </row>
    <row r="20">
      <c r="AG20" s="14" t="n"/>
      <c r="AH20" s="12" t="inlineStr">
        <is>
          <t>Today</t>
        </is>
      </c>
    </row>
    <row r="21">
      <c r="A21" s="3">
        <f>UPPER(TEXT(DATE($AH$3,9,1),"mmmm"))</f>
        <v/>
      </c>
      <c r="I21" s="3">
        <f>UPPER(TEXT(DATE($AH$3,10,1),"mmmm"))</f>
        <v/>
      </c>
      <c r="Q21" s="3">
        <f>UPPER(TEXT(DATE($AH$3,11,1),"mmmm"))</f>
        <v/>
      </c>
      <c r="Y21" s="3">
        <f>UPPER(TEXT(DATE($AH$3,12,1),"mmmm"))</f>
        <v/>
      </c>
    </row>
    <row r="22">
      <c r="A22" s="5" t="inlineStr">
        <is>
          <t>S</t>
        </is>
      </c>
      <c r="B22" s="5" t="inlineStr">
        <is>
          <t>M</t>
        </is>
      </c>
      <c r="C22" s="5" t="inlineStr">
        <is>
          <t>T</t>
        </is>
      </c>
      <c r="D22" s="5" t="inlineStr">
        <is>
          <t>W</t>
        </is>
      </c>
      <c r="E22" s="5" t="inlineStr">
        <is>
          <t>T</t>
        </is>
      </c>
      <c r="F22" s="5" t="inlineStr">
        <is>
          <t>F</t>
        </is>
      </c>
      <c r="G22" s="5" t="inlineStr">
        <is>
          <t>S</t>
        </is>
      </c>
      <c r="I22" s="5" t="inlineStr">
        <is>
          <t>S</t>
        </is>
      </c>
      <c r="J22" s="5" t="inlineStr">
        <is>
          <t>M</t>
        </is>
      </c>
      <c r="K22" s="5" t="inlineStr">
        <is>
          <t>T</t>
        </is>
      </c>
      <c r="L22" s="5" t="inlineStr">
        <is>
          <t>W</t>
        </is>
      </c>
      <c r="M22" s="5" t="inlineStr">
        <is>
          <t>T</t>
        </is>
      </c>
      <c r="N22" s="5" t="inlineStr">
        <is>
          <t>F</t>
        </is>
      </c>
      <c r="O22" s="5" t="inlineStr">
        <is>
          <t>S</t>
        </is>
      </c>
      <c r="Q22" s="5" t="inlineStr">
        <is>
          <t>S</t>
        </is>
      </c>
      <c r="R22" s="5" t="inlineStr">
        <is>
          <t>M</t>
        </is>
      </c>
      <c r="S22" s="5" t="inlineStr">
        <is>
          <t>T</t>
        </is>
      </c>
      <c r="T22" s="5" t="inlineStr">
        <is>
          <t>W</t>
        </is>
      </c>
      <c r="U22" s="5" t="inlineStr">
        <is>
          <t>T</t>
        </is>
      </c>
      <c r="V22" s="5" t="inlineStr">
        <is>
          <t>F</t>
        </is>
      </c>
      <c r="W22" s="5" t="inlineStr">
        <is>
          <t>S</t>
        </is>
      </c>
      <c r="Y22" s="5" t="inlineStr">
        <is>
          <t>S</t>
        </is>
      </c>
      <c r="Z22" s="5" t="inlineStr">
        <is>
          <t>M</t>
        </is>
      </c>
      <c r="AA22" s="5" t="inlineStr">
        <is>
          <t>T</t>
        </is>
      </c>
      <c r="AB22" s="5" t="inlineStr">
        <is>
          <t>W</t>
        </is>
      </c>
      <c r="AC22" s="5" t="inlineStr">
        <is>
          <t>T</t>
        </is>
      </c>
      <c r="AD22" s="5" t="inlineStr">
        <is>
          <t>F</t>
        </is>
      </c>
      <c r="AE22" s="5" t="inlineStr">
        <is>
          <t>S</t>
        </is>
      </c>
    </row>
    <row r="23">
      <c r="A23" s="6">
        <f>DATE($AH$3,9,1)-WEEKDAY(DATE($AH$3,9,1))+1+0</f>
        <v/>
      </c>
      <c r="B23" s="6">
        <f>DATE($AH$3,9,1)-WEEKDAY(DATE($AH$3,9,1))+1+1</f>
        <v/>
      </c>
      <c r="C23" s="6">
        <f>DATE($AH$3,9,1)-WEEKDAY(DATE($AH$3,9,1))+1+2</f>
        <v/>
      </c>
      <c r="D23" s="6">
        <f>DATE($AH$3,9,1)-WEEKDAY(DATE($AH$3,9,1))+1+3</f>
        <v/>
      </c>
      <c r="E23" s="6">
        <f>DATE($AH$3,9,1)-WEEKDAY(DATE($AH$3,9,1))+1+4</f>
        <v/>
      </c>
      <c r="F23" s="6">
        <f>DATE($AH$3,9,1)-WEEKDAY(DATE($AH$3,9,1))+1+5</f>
        <v/>
      </c>
      <c r="G23" s="6">
        <f>DATE($AH$3,9,1)-WEEKDAY(DATE($AH$3,9,1))+1+6</f>
        <v/>
      </c>
      <c r="I23" s="6">
        <f>DATE($AH$3,10,1)-WEEKDAY(DATE($AH$3,10,1))+1+0</f>
        <v/>
      </c>
      <c r="J23" s="6">
        <f>DATE($AH$3,10,1)-WEEKDAY(DATE($AH$3,10,1))+1+1</f>
        <v/>
      </c>
      <c r="K23" s="6">
        <f>DATE($AH$3,10,1)-WEEKDAY(DATE($AH$3,10,1))+1+2</f>
        <v/>
      </c>
      <c r="L23" s="6">
        <f>DATE($AH$3,10,1)-WEEKDAY(DATE($AH$3,10,1))+1+3</f>
        <v/>
      </c>
      <c r="M23" s="6">
        <f>DATE($AH$3,10,1)-WEEKDAY(DATE($AH$3,10,1))+1+4</f>
        <v/>
      </c>
      <c r="N23" s="6">
        <f>DATE($AH$3,10,1)-WEEKDAY(DATE($AH$3,10,1))+1+5</f>
        <v/>
      </c>
      <c r="O23" s="6">
        <f>DATE($AH$3,10,1)-WEEKDAY(DATE($AH$3,10,1))+1+6</f>
        <v/>
      </c>
      <c r="Q23" s="6">
        <f>DATE($AH$3,11,1)-WEEKDAY(DATE($AH$3,11,1))+1+0</f>
        <v/>
      </c>
      <c r="R23" s="6">
        <f>DATE($AH$3,11,1)-WEEKDAY(DATE($AH$3,11,1))+1+1</f>
        <v/>
      </c>
      <c r="S23" s="6">
        <f>DATE($AH$3,11,1)-WEEKDAY(DATE($AH$3,11,1))+1+2</f>
        <v/>
      </c>
      <c r="T23" s="6">
        <f>DATE($AH$3,11,1)-WEEKDAY(DATE($AH$3,11,1))+1+3</f>
        <v/>
      </c>
      <c r="U23" s="6">
        <f>DATE($AH$3,11,1)-WEEKDAY(DATE($AH$3,11,1))+1+4</f>
        <v/>
      </c>
      <c r="V23" s="6">
        <f>DATE($AH$3,11,1)-WEEKDAY(DATE($AH$3,11,1))+1+5</f>
        <v/>
      </c>
      <c r="W23" s="6">
        <f>DATE($AH$3,11,1)-WEEKDAY(DATE($AH$3,11,1))+1+6</f>
        <v/>
      </c>
      <c r="Y23" s="6">
        <f>DATE($AH$3,12,1)-WEEKDAY(DATE($AH$3,12,1))+1+0</f>
        <v/>
      </c>
      <c r="Z23" s="6">
        <f>DATE($AH$3,12,1)-WEEKDAY(DATE($AH$3,12,1))+1+1</f>
        <v/>
      </c>
      <c r="AA23" s="6">
        <f>DATE($AH$3,12,1)-WEEKDAY(DATE($AH$3,12,1))+1+2</f>
        <v/>
      </c>
      <c r="AB23" s="6">
        <f>DATE($AH$3,12,1)-WEEKDAY(DATE($AH$3,12,1))+1+3</f>
        <v/>
      </c>
      <c r="AC23" s="6">
        <f>DATE($AH$3,12,1)-WEEKDAY(DATE($AH$3,12,1))+1+4</f>
        <v/>
      </c>
      <c r="AD23" s="6">
        <f>DATE($AH$3,12,1)-WEEKDAY(DATE($AH$3,12,1))+1+5</f>
        <v/>
      </c>
      <c r="AE23" s="6">
        <f>DATE($AH$3,12,1)-WEEKDAY(DATE($AH$3,12,1))+1+6</f>
        <v/>
      </c>
    </row>
    <row r="24">
      <c r="A24" s="6">
        <f>DATE($AH$3,9,1)-WEEKDAY(DATE($AH$3,9,1))+1+7</f>
        <v/>
      </c>
      <c r="B24" s="6">
        <f>DATE($AH$3,9,1)-WEEKDAY(DATE($AH$3,9,1))+1+8</f>
        <v/>
      </c>
      <c r="C24" s="6">
        <f>DATE($AH$3,9,1)-WEEKDAY(DATE($AH$3,9,1))+1+9</f>
        <v/>
      </c>
      <c r="D24" s="6">
        <f>DATE($AH$3,9,1)-WEEKDAY(DATE($AH$3,9,1))+1+10</f>
        <v/>
      </c>
      <c r="E24" s="6">
        <f>DATE($AH$3,9,1)-WEEKDAY(DATE($AH$3,9,1))+1+11</f>
        <v/>
      </c>
      <c r="F24" s="6">
        <f>DATE($AH$3,9,1)-WEEKDAY(DATE($AH$3,9,1))+1+12</f>
        <v/>
      </c>
      <c r="G24" s="6">
        <f>DATE($AH$3,9,1)-WEEKDAY(DATE($AH$3,9,1))+1+13</f>
        <v/>
      </c>
      <c r="I24" s="6">
        <f>DATE($AH$3,10,1)-WEEKDAY(DATE($AH$3,10,1))+1+7</f>
        <v/>
      </c>
      <c r="J24" s="6">
        <f>DATE($AH$3,10,1)-WEEKDAY(DATE($AH$3,10,1))+1+8</f>
        <v/>
      </c>
      <c r="K24" s="6">
        <f>DATE($AH$3,10,1)-WEEKDAY(DATE($AH$3,10,1))+1+9</f>
        <v/>
      </c>
      <c r="L24" s="6">
        <f>DATE($AH$3,10,1)-WEEKDAY(DATE($AH$3,10,1))+1+10</f>
        <v/>
      </c>
      <c r="M24" s="6">
        <f>DATE($AH$3,10,1)-WEEKDAY(DATE($AH$3,10,1))+1+11</f>
        <v/>
      </c>
      <c r="N24" s="6">
        <f>DATE($AH$3,10,1)-WEEKDAY(DATE($AH$3,10,1))+1+12</f>
        <v/>
      </c>
      <c r="O24" s="6">
        <f>DATE($AH$3,10,1)-WEEKDAY(DATE($AH$3,10,1))+1+13</f>
        <v/>
      </c>
      <c r="Q24" s="6">
        <f>DATE($AH$3,11,1)-WEEKDAY(DATE($AH$3,11,1))+1+7</f>
        <v/>
      </c>
      <c r="R24" s="6">
        <f>DATE($AH$3,11,1)-WEEKDAY(DATE($AH$3,11,1))+1+8</f>
        <v/>
      </c>
      <c r="S24" s="6">
        <f>DATE($AH$3,11,1)-WEEKDAY(DATE($AH$3,11,1))+1+9</f>
        <v/>
      </c>
      <c r="T24" s="6">
        <f>DATE($AH$3,11,1)-WEEKDAY(DATE($AH$3,11,1))+1+10</f>
        <v/>
      </c>
      <c r="U24" s="6">
        <f>DATE($AH$3,11,1)-WEEKDAY(DATE($AH$3,11,1))+1+11</f>
        <v/>
      </c>
      <c r="V24" s="6">
        <f>DATE($AH$3,11,1)-WEEKDAY(DATE($AH$3,11,1))+1+12</f>
        <v/>
      </c>
      <c r="W24" s="6">
        <f>DATE($AH$3,11,1)-WEEKDAY(DATE($AH$3,11,1))+1+13</f>
        <v/>
      </c>
      <c r="Y24" s="6">
        <f>DATE($AH$3,12,1)-WEEKDAY(DATE($AH$3,12,1))+1+7</f>
        <v/>
      </c>
      <c r="Z24" s="6">
        <f>DATE($AH$3,12,1)-WEEKDAY(DATE($AH$3,12,1))+1+8</f>
        <v/>
      </c>
      <c r="AA24" s="6">
        <f>DATE($AH$3,12,1)-WEEKDAY(DATE($AH$3,12,1))+1+9</f>
        <v/>
      </c>
      <c r="AB24" s="6">
        <f>DATE($AH$3,12,1)-WEEKDAY(DATE($AH$3,12,1))+1+10</f>
        <v/>
      </c>
      <c r="AC24" s="6">
        <f>DATE($AH$3,12,1)-WEEKDAY(DATE($AH$3,12,1))+1+11</f>
        <v/>
      </c>
      <c r="AD24" s="6">
        <f>DATE($AH$3,12,1)-WEEKDAY(DATE($AH$3,12,1))+1+12</f>
        <v/>
      </c>
      <c r="AE24" s="6">
        <f>DATE($AH$3,12,1)-WEEKDAY(DATE($AH$3,12,1))+1+13</f>
        <v/>
      </c>
    </row>
    <row r="25">
      <c r="A25" s="6">
        <f>DATE($AH$3,9,1)-WEEKDAY(DATE($AH$3,9,1))+1+14</f>
        <v/>
      </c>
      <c r="B25" s="6">
        <f>DATE($AH$3,9,1)-WEEKDAY(DATE($AH$3,9,1))+1+15</f>
        <v/>
      </c>
      <c r="C25" s="6">
        <f>DATE($AH$3,9,1)-WEEKDAY(DATE($AH$3,9,1))+1+16</f>
        <v/>
      </c>
      <c r="D25" s="6">
        <f>DATE($AH$3,9,1)-WEEKDAY(DATE($AH$3,9,1))+1+17</f>
        <v/>
      </c>
      <c r="E25" s="6">
        <f>DATE($AH$3,9,1)-WEEKDAY(DATE($AH$3,9,1))+1+18</f>
        <v/>
      </c>
      <c r="F25" s="6">
        <f>DATE($AH$3,9,1)-WEEKDAY(DATE($AH$3,9,1))+1+19</f>
        <v/>
      </c>
      <c r="G25" s="6">
        <f>DATE($AH$3,9,1)-WEEKDAY(DATE($AH$3,9,1))+1+20</f>
        <v/>
      </c>
      <c r="I25" s="6">
        <f>DATE($AH$3,10,1)-WEEKDAY(DATE($AH$3,10,1))+1+14</f>
        <v/>
      </c>
      <c r="J25" s="6">
        <f>DATE($AH$3,10,1)-WEEKDAY(DATE($AH$3,10,1))+1+15</f>
        <v/>
      </c>
      <c r="K25" s="6">
        <f>DATE($AH$3,10,1)-WEEKDAY(DATE($AH$3,10,1))+1+16</f>
        <v/>
      </c>
      <c r="L25" s="6">
        <f>DATE($AH$3,10,1)-WEEKDAY(DATE($AH$3,10,1))+1+17</f>
        <v/>
      </c>
      <c r="M25" s="6">
        <f>DATE($AH$3,10,1)-WEEKDAY(DATE($AH$3,10,1))+1+18</f>
        <v/>
      </c>
      <c r="N25" s="6">
        <f>DATE($AH$3,10,1)-WEEKDAY(DATE($AH$3,10,1))+1+19</f>
        <v/>
      </c>
      <c r="O25" s="6">
        <f>DATE($AH$3,10,1)-WEEKDAY(DATE($AH$3,10,1))+1+20</f>
        <v/>
      </c>
      <c r="Q25" s="6">
        <f>DATE($AH$3,11,1)-WEEKDAY(DATE($AH$3,11,1))+1+14</f>
        <v/>
      </c>
      <c r="R25" s="6">
        <f>DATE($AH$3,11,1)-WEEKDAY(DATE($AH$3,11,1))+1+15</f>
        <v/>
      </c>
      <c r="S25" s="6">
        <f>DATE($AH$3,11,1)-WEEKDAY(DATE($AH$3,11,1))+1+16</f>
        <v/>
      </c>
      <c r="T25" s="6">
        <f>DATE($AH$3,11,1)-WEEKDAY(DATE($AH$3,11,1))+1+17</f>
        <v/>
      </c>
      <c r="U25" s="6">
        <f>DATE($AH$3,11,1)-WEEKDAY(DATE($AH$3,11,1))+1+18</f>
        <v/>
      </c>
      <c r="V25" s="6">
        <f>DATE($AH$3,11,1)-WEEKDAY(DATE($AH$3,11,1))+1+19</f>
        <v/>
      </c>
      <c r="W25" s="6">
        <f>DATE($AH$3,11,1)-WEEKDAY(DATE($AH$3,11,1))+1+20</f>
        <v/>
      </c>
      <c r="Y25" s="6">
        <f>DATE($AH$3,12,1)-WEEKDAY(DATE($AH$3,12,1))+1+14</f>
        <v/>
      </c>
      <c r="Z25" s="6">
        <f>DATE($AH$3,12,1)-WEEKDAY(DATE($AH$3,12,1))+1+15</f>
        <v/>
      </c>
      <c r="AA25" s="6">
        <f>DATE($AH$3,12,1)-WEEKDAY(DATE($AH$3,12,1))+1+16</f>
        <v/>
      </c>
      <c r="AB25" s="6">
        <f>DATE($AH$3,12,1)-WEEKDAY(DATE($AH$3,12,1))+1+17</f>
        <v/>
      </c>
      <c r="AC25" s="6">
        <f>DATE($AH$3,12,1)-WEEKDAY(DATE($AH$3,12,1))+1+18</f>
        <v/>
      </c>
      <c r="AD25" s="6">
        <f>DATE($AH$3,12,1)-WEEKDAY(DATE($AH$3,12,1))+1+19</f>
        <v/>
      </c>
      <c r="AE25" s="6">
        <f>DATE($AH$3,12,1)-WEEKDAY(DATE($AH$3,12,1))+1+20</f>
        <v/>
      </c>
    </row>
    <row r="26">
      <c r="A26" s="6">
        <f>DATE($AH$3,9,1)-WEEKDAY(DATE($AH$3,9,1))+1+21</f>
        <v/>
      </c>
      <c r="B26" s="6">
        <f>DATE($AH$3,9,1)-WEEKDAY(DATE($AH$3,9,1))+1+22</f>
        <v/>
      </c>
      <c r="C26" s="6">
        <f>DATE($AH$3,9,1)-WEEKDAY(DATE($AH$3,9,1))+1+23</f>
        <v/>
      </c>
      <c r="D26" s="6">
        <f>DATE($AH$3,9,1)-WEEKDAY(DATE($AH$3,9,1))+1+24</f>
        <v/>
      </c>
      <c r="E26" s="6">
        <f>DATE($AH$3,9,1)-WEEKDAY(DATE($AH$3,9,1))+1+25</f>
        <v/>
      </c>
      <c r="F26" s="6">
        <f>DATE($AH$3,9,1)-WEEKDAY(DATE($AH$3,9,1))+1+26</f>
        <v/>
      </c>
      <c r="G26" s="6">
        <f>DATE($AH$3,9,1)-WEEKDAY(DATE($AH$3,9,1))+1+27</f>
        <v/>
      </c>
      <c r="I26" s="6">
        <f>DATE($AH$3,10,1)-WEEKDAY(DATE($AH$3,10,1))+1+21</f>
        <v/>
      </c>
      <c r="J26" s="6">
        <f>DATE($AH$3,10,1)-WEEKDAY(DATE($AH$3,10,1))+1+22</f>
        <v/>
      </c>
      <c r="K26" s="6">
        <f>DATE($AH$3,10,1)-WEEKDAY(DATE($AH$3,10,1))+1+23</f>
        <v/>
      </c>
      <c r="L26" s="6">
        <f>DATE($AH$3,10,1)-WEEKDAY(DATE($AH$3,10,1))+1+24</f>
        <v/>
      </c>
      <c r="M26" s="6">
        <f>DATE($AH$3,10,1)-WEEKDAY(DATE($AH$3,10,1))+1+25</f>
        <v/>
      </c>
      <c r="N26" s="6">
        <f>DATE($AH$3,10,1)-WEEKDAY(DATE($AH$3,10,1))+1+26</f>
        <v/>
      </c>
      <c r="O26" s="6">
        <f>DATE($AH$3,10,1)-WEEKDAY(DATE($AH$3,10,1))+1+27</f>
        <v/>
      </c>
      <c r="Q26" s="6">
        <f>DATE($AH$3,11,1)-WEEKDAY(DATE($AH$3,11,1))+1+21</f>
        <v/>
      </c>
      <c r="R26" s="6">
        <f>DATE($AH$3,11,1)-WEEKDAY(DATE($AH$3,11,1))+1+22</f>
        <v/>
      </c>
      <c r="S26" s="6">
        <f>DATE($AH$3,11,1)-WEEKDAY(DATE($AH$3,11,1))+1+23</f>
        <v/>
      </c>
      <c r="T26" s="6">
        <f>DATE($AH$3,11,1)-WEEKDAY(DATE($AH$3,11,1))+1+24</f>
        <v/>
      </c>
      <c r="U26" s="6">
        <f>DATE($AH$3,11,1)-WEEKDAY(DATE($AH$3,11,1))+1+25</f>
        <v/>
      </c>
      <c r="V26" s="6">
        <f>DATE($AH$3,11,1)-WEEKDAY(DATE($AH$3,11,1))+1+26</f>
        <v/>
      </c>
      <c r="W26" s="6">
        <f>DATE($AH$3,11,1)-WEEKDAY(DATE($AH$3,11,1))+1+27</f>
        <v/>
      </c>
      <c r="Y26" s="6">
        <f>DATE($AH$3,12,1)-WEEKDAY(DATE($AH$3,12,1))+1+21</f>
        <v/>
      </c>
      <c r="Z26" s="6">
        <f>DATE($AH$3,12,1)-WEEKDAY(DATE($AH$3,12,1))+1+22</f>
        <v/>
      </c>
      <c r="AA26" s="6">
        <f>DATE($AH$3,12,1)-WEEKDAY(DATE($AH$3,12,1))+1+23</f>
        <v/>
      </c>
      <c r="AB26" s="6">
        <f>DATE($AH$3,12,1)-WEEKDAY(DATE($AH$3,12,1))+1+24</f>
        <v/>
      </c>
      <c r="AC26" s="6">
        <f>DATE($AH$3,12,1)-WEEKDAY(DATE($AH$3,12,1))+1+25</f>
        <v/>
      </c>
      <c r="AD26" s="6">
        <f>DATE($AH$3,12,1)-WEEKDAY(DATE($AH$3,12,1))+1+26</f>
        <v/>
      </c>
      <c r="AE26" s="6">
        <f>DATE($AH$3,12,1)-WEEKDAY(DATE($AH$3,12,1))+1+27</f>
        <v/>
      </c>
    </row>
    <row r="27">
      <c r="A27" s="6">
        <f>DATE($AH$3,9,1)-WEEKDAY(DATE($AH$3,9,1))+1+28</f>
        <v/>
      </c>
      <c r="B27" s="6">
        <f>DATE($AH$3,9,1)-WEEKDAY(DATE($AH$3,9,1))+1+29</f>
        <v/>
      </c>
      <c r="C27" s="6">
        <f>DATE($AH$3,9,1)-WEEKDAY(DATE($AH$3,9,1))+1+30</f>
        <v/>
      </c>
      <c r="D27" s="6">
        <f>DATE($AH$3,9,1)-WEEKDAY(DATE($AH$3,9,1))+1+31</f>
        <v/>
      </c>
      <c r="E27" s="6">
        <f>DATE($AH$3,9,1)-WEEKDAY(DATE($AH$3,9,1))+1+32</f>
        <v/>
      </c>
      <c r="F27" s="6">
        <f>DATE($AH$3,9,1)-WEEKDAY(DATE($AH$3,9,1))+1+33</f>
        <v/>
      </c>
      <c r="G27" s="6">
        <f>DATE($AH$3,9,1)-WEEKDAY(DATE($AH$3,9,1))+1+34</f>
        <v/>
      </c>
      <c r="I27" s="6">
        <f>DATE($AH$3,10,1)-WEEKDAY(DATE($AH$3,10,1))+1+28</f>
        <v/>
      </c>
      <c r="J27" s="6">
        <f>DATE($AH$3,10,1)-WEEKDAY(DATE($AH$3,10,1))+1+29</f>
        <v/>
      </c>
      <c r="K27" s="6">
        <f>DATE($AH$3,10,1)-WEEKDAY(DATE($AH$3,10,1))+1+30</f>
        <v/>
      </c>
      <c r="L27" s="6">
        <f>DATE($AH$3,10,1)-WEEKDAY(DATE($AH$3,10,1))+1+31</f>
        <v/>
      </c>
      <c r="M27" s="6">
        <f>DATE($AH$3,10,1)-WEEKDAY(DATE($AH$3,10,1))+1+32</f>
        <v/>
      </c>
      <c r="N27" s="6">
        <f>DATE($AH$3,10,1)-WEEKDAY(DATE($AH$3,10,1))+1+33</f>
        <v/>
      </c>
      <c r="O27" s="6">
        <f>DATE($AH$3,10,1)-WEEKDAY(DATE($AH$3,10,1))+1+34</f>
        <v/>
      </c>
      <c r="Q27" s="6">
        <f>DATE($AH$3,11,1)-WEEKDAY(DATE($AH$3,11,1))+1+28</f>
        <v/>
      </c>
      <c r="R27" s="6">
        <f>DATE($AH$3,11,1)-WEEKDAY(DATE($AH$3,11,1))+1+29</f>
        <v/>
      </c>
      <c r="S27" s="6">
        <f>DATE($AH$3,11,1)-WEEKDAY(DATE($AH$3,11,1))+1+30</f>
        <v/>
      </c>
      <c r="T27" s="6">
        <f>DATE($AH$3,11,1)-WEEKDAY(DATE($AH$3,11,1))+1+31</f>
        <v/>
      </c>
      <c r="U27" s="6">
        <f>DATE($AH$3,11,1)-WEEKDAY(DATE($AH$3,11,1))+1+32</f>
        <v/>
      </c>
      <c r="V27" s="6">
        <f>DATE($AH$3,11,1)-WEEKDAY(DATE($AH$3,11,1))+1+33</f>
        <v/>
      </c>
      <c r="W27" s="6">
        <f>DATE($AH$3,11,1)-WEEKDAY(DATE($AH$3,11,1))+1+34</f>
        <v/>
      </c>
      <c r="Y27" s="6">
        <f>DATE($AH$3,12,1)-WEEKDAY(DATE($AH$3,12,1))+1+28</f>
        <v/>
      </c>
      <c r="Z27" s="6">
        <f>DATE($AH$3,12,1)-WEEKDAY(DATE($AH$3,12,1))+1+29</f>
        <v/>
      </c>
      <c r="AA27" s="6">
        <f>DATE($AH$3,12,1)-WEEKDAY(DATE($AH$3,12,1))+1+30</f>
        <v/>
      </c>
      <c r="AB27" s="6">
        <f>DATE($AH$3,12,1)-WEEKDAY(DATE($AH$3,12,1))+1+31</f>
        <v/>
      </c>
      <c r="AC27" s="6">
        <f>DATE($AH$3,12,1)-WEEKDAY(DATE($AH$3,12,1))+1+32</f>
        <v/>
      </c>
      <c r="AD27" s="6">
        <f>DATE($AH$3,12,1)-WEEKDAY(DATE($AH$3,12,1))+1+33</f>
        <v/>
      </c>
      <c r="AE27" s="6">
        <f>DATE($AH$3,12,1)-WEEKDAY(DATE($AH$3,12,1))+1+34</f>
        <v/>
      </c>
    </row>
    <row r="28">
      <c r="A28" s="6">
        <f>DATE($AH$3,9,1)-WEEKDAY(DATE($AH$3,9,1))+1+35</f>
        <v/>
      </c>
      <c r="B28" s="6">
        <f>DATE($AH$3,9,1)-WEEKDAY(DATE($AH$3,9,1))+1+36</f>
        <v/>
      </c>
      <c r="C28" s="6">
        <f>DATE($AH$3,9,1)-WEEKDAY(DATE($AH$3,9,1))+1+37</f>
        <v/>
      </c>
      <c r="D28" s="6">
        <f>DATE($AH$3,9,1)-WEEKDAY(DATE($AH$3,9,1))+1+38</f>
        <v/>
      </c>
      <c r="E28" s="6">
        <f>DATE($AH$3,9,1)-WEEKDAY(DATE($AH$3,9,1))+1+39</f>
        <v/>
      </c>
      <c r="F28" s="6">
        <f>DATE($AH$3,9,1)-WEEKDAY(DATE($AH$3,9,1))+1+40</f>
        <v/>
      </c>
      <c r="G28" s="6">
        <f>DATE($AH$3,9,1)-WEEKDAY(DATE($AH$3,9,1))+1+41</f>
        <v/>
      </c>
      <c r="I28" s="6">
        <f>DATE($AH$3,10,1)-WEEKDAY(DATE($AH$3,10,1))+1+35</f>
        <v/>
      </c>
      <c r="J28" s="6">
        <f>DATE($AH$3,10,1)-WEEKDAY(DATE($AH$3,10,1))+1+36</f>
        <v/>
      </c>
      <c r="K28" s="6">
        <f>DATE($AH$3,10,1)-WEEKDAY(DATE($AH$3,10,1))+1+37</f>
        <v/>
      </c>
      <c r="L28" s="6">
        <f>DATE($AH$3,10,1)-WEEKDAY(DATE($AH$3,10,1))+1+38</f>
        <v/>
      </c>
      <c r="M28" s="6">
        <f>DATE($AH$3,10,1)-WEEKDAY(DATE($AH$3,10,1))+1+39</f>
        <v/>
      </c>
      <c r="N28" s="6">
        <f>DATE($AH$3,10,1)-WEEKDAY(DATE($AH$3,10,1))+1+40</f>
        <v/>
      </c>
      <c r="O28" s="6">
        <f>DATE($AH$3,10,1)-WEEKDAY(DATE($AH$3,10,1))+1+41</f>
        <v/>
      </c>
      <c r="Q28" s="6">
        <f>DATE($AH$3,11,1)-WEEKDAY(DATE($AH$3,11,1))+1+35</f>
        <v/>
      </c>
      <c r="R28" s="6">
        <f>DATE($AH$3,11,1)-WEEKDAY(DATE($AH$3,11,1))+1+36</f>
        <v/>
      </c>
      <c r="S28" s="6">
        <f>DATE($AH$3,11,1)-WEEKDAY(DATE($AH$3,11,1))+1+37</f>
        <v/>
      </c>
      <c r="T28" s="6">
        <f>DATE($AH$3,11,1)-WEEKDAY(DATE($AH$3,11,1))+1+38</f>
        <v/>
      </c>
      <c r="U28" s="6">
        <f>DATE($AH$3,11,1)-WEEKDAY(DATE($AH$3,11,1))+1+39</f>
        <v/>
      </c>
      <c r="V28" s="6">
        <f>DATE($AH$3,11,1)-WEEKDAY(DATE($AH$3,11,1))+1+40</f>
        <v/>
      </c>
      <c r="W28" s="6">
        <f>DATE($AH$3,11,1)-WEEKDAY(DATE($AH$3,11,1))+1+41</f>
        <v/>
      </c>
      <c r="Y28" s="6">
        <f>DATE($AH$3,12,1)-WEEKDAY(DATE($AH$3,12,1))+1+35</f>
        <v/>
      </c>
      <c r="Z28" s="6">
        <f>DATE($AH$3,12,1)-WEEKDAY(DATE($AH$3,12,1))+1+36</f>
        <v/>
      </c>
      <c r="AA28" s="6">
        <f>DATE($AH$3,12,1)-WEEKDAY(DATE($AH$3,12,1))+1+37</f>
        <v/>
      </c>
      <c r="AB28" s="6">
        <f>DATE($AH$3,12,1)-WEEKDAY(DATE($AH$3,12,1))+1+38</f>
        <v/>
      </c>
      <c r="AC28" s="6">
        <f>DATE($AH$3,12,1)-WEEKDAY(DATE($AH$3,12,1))+1+39</f>
        <v/>
      </c>
      <c r="AD28" s="6">
        <f>DATE($AH$3,12,1)-WEEKDAY(DATE($AH$3,12,1))+1+40</f>
        <v/>
      </c>
      <c r="AE28" s="6">
        <f>DATE($AH$3,12,1)-WEEKDAY(DATE($AH$3,12,1))+1+41</f>
        <v/>
      </c>
    </row>
    <row r="30">
      <c r="A30" s="15" t="inlineStr">
        <is>
          <t>Enter any year in the yellow cell. All 12 months, weekends and the closure dates you list are recalculated automatically.</t>
        </is>
      </c>
    </row>
  </sheetData>
  <mergeCells count="15">
    <mergeCell ref="AG17:AH17"/>
    <mergeCell ref="A3:G3"/>
    <mergeCell ref="A21:G21"/>
    <mergeCell ref="I3:O3"/>
    <mergeCell ref="A12:G12"/>
    <mergeCell ref="A1:AE1"/>
    <mergeCell ref="I21:O21"/>
    <mergeCell ref="I12:O12"/>
    <mergeCell ref="Q12:W12"/>
    <mergeCell ref="Y12:AE12"/>
    <mergeCell ref="Q3:W3"/>
    <mergeCell ref="Q21:W21"/>
    <mergeCell ref="AG5:AH5"/>
    <mergeCell ref="Y21:AE21"/>
    <mergeCell ref="Y3:AE3"/>
  </mergeCells>
  <conditionalFormatting sqref="A5:G10">
    <cfRule type="expression" priority="1" dxfId="0" stopIfTrue="1">
      <formula>MONTH(A5)&lt;&gt;1</formula>
    </cfRule>
    <cfRule type="expression" priority="2" dxfId="1" stopIfTrue="1">
      <formula>A5=TODAY()</formula>
    </cfRule>
    <cfRule type="expression" priority="3" dxfId="2" stopIfTrue="1">
      <formula>COUNTIF($AG$7:$AG$14,A5)&gt;0</formula>
    </cfRule>
    <cfRule type="expression" priority="4" dxfId="3" stopIfTrue="1">
      <formula>WEEKDAY(A5)=1</formula>
    </cfRule>
    <cfRule type="expression" priority="5" dxfId="3" stopIfTrue="1">
      <formula>WEEKDAY(A5)=7</formula>
    </cfRule>
  </conditionalFormatting>
  <conditionalFormatting sqref="I5:O10">
    <cfRule type="expression" priority="6" dxfId="0" stopIfTrue="1">
      <formula>MONTH(I5)&lt;&gt;2</formula>
    </cfRule>
    <cfRule type="expression" priority="7" dxfId="1" stopIfTrue="1">
      <formula>I5=TODAY()</formula>
    </cfRule>
    <cfRule type="expression" priority="8" dxfId="2" stopIfTrue="1">
      <formula>COUNTIF($AG$7:$AG$14,I5)&gt;0</formula>
    </cfRule>
    <cfRule type="expression" priority="9" dxfId="3" stopIfTrue="1">
      <formula>WEEKDAY(I5)=1</formula>
    </cfRule>
    <cfRule type="expression" priority="10" dxfId="3" stopIfTrue="1">
      <formula>WEEKDAY(I5)=7</formula>
    </cfRule>
  </conditionalFormatting>
  <conditionalFormatting sqref="Q5:W10">
    <cfRule type="expression" priority="11" dxfId="0" stopIfTrue="1">
      <formula>MONTH(Q5)&lt;&gt;3</formula>
    </cfRule>
    <cfRule type="expression" priority="12" dxfId="1" stopIfTrue="1">
      <formula>Q5=TODAY()</formula>
    </cfRule>
    <cfRule type="expression" priority="13" dxfId="2" stopIfTrue="1">
      <formula>COUNTIF($AG$7:$AG$14,Q5)&gt;0</formula>
    </cfRule>
    <cfRule type="expression" priority="14" dxfId="3" stopIfTrue="1">
      <formula>WEEKDAY(Q5)=1</formula>
    </cfRule>
    <cfRule type="expression" priority="15" dxfId="3" stopIfTrue="1">
      <formula>WEEKDAY(Q5)=7</formula>
    </cfRule>
  </conditionalFormatting>
  <conditionalFormatting sqref="Y5:AE10">
    <cfRule type="expression" priority="16" dxfId="0" stopIfTrue="1">
      <formula>MONTH(Y5)&lt;&gt;4</formula>
    </cfRule>
    <cfRule type="expression" priority="17" dxfId="1" stopIfTrue="1">
      <formula>Y5=TODAY()</formula>
    </cfRule>
    <cfRule type="expression" priority="18" dxfId="2" stopIfTrue="1">
      <formula>COUNTIF($AG$7:$AG$14,Y5)&gt;0</formula>
    </cfRule>
    <cfRule type="expression" priority="19" dxfId="3" stopIfTrue="1">
      <formula>WEEKDAY(Y5)=1</formula>
    </cfRule>
    <cfRule type="expression" priority="20" dxfId="3" stopIfTrue="1">
      <formula>WEEKDAY(Y5)=7</formula>
    </cfRule>
  </conditionalFormatting>
  <conditionalFormatting sqref="A14:G19">
    <cfRule type="expression" priority="21" dxfId="0" stopIfTrue="1">
      <formula>MONTH(A14)&lt;&gt;5</formula>
    </cfRule>
    <cfRule type="expression" priority="22" dxfId="1" stopIfTrue="1">
      <formula>A14=TODAY()</formula>
    </cfRule>
    <cfRule type="expression" priority="23" dxfId="2" stopIfTrue="1">
      <formula>COUNTIF($AG$7:$AG$14,A14)&gt;0</formula>
    </cfRule>
    <cfRule type="expression" priority="24" dxfId="3" stopIfTrue="1">
      <formula>WEEKDAY(A14)=1</formula>
    </cfRule>
    <cfRule type="expression" priority="25" dxfId="3" stopIfTrue="1">
      <formula>WEEKDAY(A14)=7</formula>
    </cfRule>
  </conditionalFormatting>
  <conditionalFormatting sqref="I14:O19">
    <cfRule type="expression" priority="26" dxfId="0" stopIfTrue="1">
      <formula>MONTH(I14)&lt;&gt;6</formula>
    </cfRule>
    <cfRule type="expression" priority="27" dxfId="1" stopIfTrue="1">
      <formula>I14=TODAY()</formula>
    </cfRule>
    <cfRule type="expression" priority="28" dxfId="2" stopIfTrue="1">
      <formula>COUNTIF($AG$7:$AG$14,I14)&gt;0</formula>
    </cfRule>
    <cfRule type="expression" priority="29" dxfId="3" stopIfTrue="1">
      <formula>WEEKDAY(I14)=1</formula>
    </cfRule>
    <cfRule type="expression" priority="30" dxfId="3" stopIfTrue="1">
      <formula>WEEKDAY(I14)=7</formula>
    </cfRule>
  </conditionalFormatting>
  <conditionalFormatting sqref="Q14:W19">
    <cfRule type="expression" priority="31" dxfId="0" stopIfTrue="1">
      <formula>MONTH(Q14)&lt;&gt;7</formula>
    </cfRule>
    <cfRule type="expression" priority="32" dxfId="1" stopIfTrue="1">
      <formula>Q14=TODAY()</formula>
    </cfRule>
    <cfRule type="expression" priority="33" dxfId="2" stopIfTrue="1">
      <formula>COUNTIF($AG$7:$AG$14,Q14)&gt;0</formula>
    </cfRule>
    <cfRule type="expression" priority="34" dxfId="3" stopIfTrue="1">
      <formula>WEEKDAY(Q14)=1</formula>
    </cfRule>
    <cfRule type="expression" priority="35" dxfId="3" stopIfTrue="1">
      <formula>WEEKDAY(Q14)=7</formula>
    </cfRule>
  </conditionalFormatting>
  <conditionalFormatting sqref="Y14:AE19">
    <cfRule type="expression" priority="36" dxfId="0" stopIfTrue="1">
      <formula>MONTH(Y14)&lt;&gt;8</formula>
    </cfRule>
    <cfRule type="expression" priority="37" dxfId="1" stopIfTrue="1">
      <formula>Y14=TODAY()</formula>
    </cfRule>
    <cfRule type="expression" priority="38" dxfId="2" stopIfTrue="1">
      <formula>COUNTIF($AG$7:$AG$14,Y14)&gt;0</formula>
    </cfRule>
    <cfRule type="expression" priority="39" dxfId="3" stopIfTrue="1">
      <formula>WEEKDAY(Y14)=1</formula>
    </cfRule>
    <cfRule type="expression" priority="40" dxfId="3" stopIfTrue="1">
      <formula>WEEKDAY(Y14)=7</formula>
    </cfRule>
  </conditionalFormatting>
  <conditionalFormatting sqref="A23:G28">
    <cfRule type="expression" priority="41" dxfId="0" stopIfTrue="1">
      <formula>MONTH(A23)&lt;&gt;9</formula>
    </cfRule>
    <cfRule type="expression" priority="42" dxfId="1" stopIfTrue="1">
      <formula>A23=TODAY()</formula>
    </cfRule>
    <cfRule type="expression" priority="43" dxfId="2" stopIfTrue="1">
      <formula>COUNTIF($AG$7:$AG$14,A23)&gt;0</formula>
    </cfRule>
    <cfRule type="expression" priority="44" dxfId="3" stopIfTrue="1">
      <formula>WEEKDAY(A23)=1</formula>
    </cfRule>
    <cfRule type="expression" priority="45" dxfId="3" stopIfTrue="1">
      <formula>WEEKDAY(A23)=7</formula>
    </cfRule>
  </conditionalFormatting>
  <conditionalFormatting sqref="I23:O28">
    <cfRule type="expression" priority="46" dxfId="0" stopIfTrue="1">
      <formula>MONTH(I23)&lt;&gt;10</formula>
    </cfRule>
    <cfRule type="expression" priority="47" dxfId="1" stopIfTrue="1">
      <formula>I23=TODAY()</formula>
    </cfRule>
    <cfRule type="expression" priority="48" dxfId="2" stopIfTrue="1">
      <formula>COUNTIF($AG$7:$AG$14,I23)&gt;0</formula>
    </cfRule>
    <cfRule type="expression" priority="49" dxfId="3" stopIfTrue="1">
      <formula>WEEKDAY(I23)=1</formula>
    </cfRule>
    <cfRule type="expression" priority="50" dxfId="3" stopIfTrue="1">
      <formula>WEEKDAY(I23)=7</formula>
    </cfRule>
  </conditionalFormatting>
  <conditionalFormatting sqref="Q23:W28">
    <cfRule type="expression" priority="51" dxfId="0" stopIfTrue="1">
      <formula>MONTH(Q23)&lt;&gt;11</formula>
    </cfRule>
    <cfRule type="expression" priority="52" dxfId="1" stopIfTrue="1">
      <formula>Q23=TODAY()</formula>
    </cfRule>
    <cfRule type="expression" priority="53" dxfId="2" stopIfTrue="1">
      <formula>COUNTIF($AG$7:$AG$14,Q23)&gt;0</formula>
    </cfRule>
    <cfRule type="expression" priority="54" dxfId="3" stopIfTrue="1">
      <formula>WEEKDAY(Q23)=1</formula>
    </cfRule>
    <cfRule type="expression" priority="55" dxfId="3" stopIfTrue="1">
      <formula>WEEKDAY(Q23)=7</formula>
    </cfRule>
  </conditionalFormatting>
  <conditionalFormatting sqref="Y23:AE28">
    <cfRule type="expression" priority="56" dxfId="0" stopIfTrue="1">
      <formula>MONTH(Y23)&lt;&gt;12</formula>
    </cfRule>
    <cfRule type="expression" priority="57" dxfId="1" stopIfTrue="1">
      <formula>Y23=TODAY()</formula>
    </cfRule>
    <cfRule type="expression" priority="58" dxfId="2" stopIfTrue="1">
      <formula>COUNTIF($AG$7:$AG$14,Y23)&gt;0</formula>
    </cfRule>
    <cfRule type="expression" priority="59" dxfId="3" stopIfTrue="1">
      <formula>WEEKDAY(Y23)=1</formula>
    </cfRule>
    <cfRule type="expression" priority="60" dxfId="3" stopIfTrue="1">
      <formula>WEEKDAY(Y23)=7</formula>
    </cfRule>
  </conditionalFormatting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2026-10-17T12:41:08Z</dcterms:created>
  <dcterms:modified xmlns:dcterms="http://purl.org/dc/terms/" xmlns:xsi="http://www.w3.org/2001/XMLSchema-instance" xsi:type="dcterms:W3CDTF">2026-10-17T12:41:08Z</dcterms:modified>
</cp:coreProperties>
</file>